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olar Financing Information" sheetId="1" r:id="rId1"/>
    <sheet name="Amortization Table" sheetId="2" r:id="rId2"/>
    <sheet name="Chart Data" sheetId="3" r:id="rId3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1">OFFSET(Full_Print,0,0,Last_Row)</definedName>
    <definedName name="Print_Area_Reset">OFFSET(Full_Print,0,0,Last_Row)</definedName>
    <definedName name="_xlnm.Print_Titles" localSheetId="1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watts_per_panel">'Solar Financing Information'!$C$26</definedName>
    <definedName name="_xlnm.Print_Titles" localSheetId="1">'Amortization Table'!$15:$17</definedName>
  </definedNames>
  <calcPr fullCalcOnLoad="1"/>
</workbook>
</file>

<file path=xl/sharedStrings.xml><?xml version="1.0" encoding="utf-8"?>
<sst xmlns="http://schemas.openxmlformats.org/spreadsheetml/2006/main" count="135" uniqueCount="83">
  <si>
    <t>Your current average monthly power bill</t>
  </si>
  <si>
    <t>Your current estimated monthly kwh usage is</t>
  </si>
  <si>
    <t>System Specifications</t>
  </si>
  <si>
    <t>System size required to eliminate power bill</t>
  </si>
  <si>
    <t>kW</t>
  </si>
  <si>
    <t>Usable hours of sunlight/day</t>
  </si>
  <si>
    <t>Number of Solar Panels Required</t>
  </si>
  <si>
    <t>Approx. roof sqft. required</t>
  </si>
  <si>
    <t>watts per solar panel</t>
  </si>
  <si>
    <t>Due up front</t>
  </si>
  <si>
    <t>Gross Cost</t>
  </si>
  <si>
    <t>TVA Production Incentive (Grid Tie)</t>
  </si>
  <si>
    <t>Out of pocket expense</t>
  </si>
  <si>
    <t>Rebates and Incentives</t>
  </si>
  <si>
    <t>Federal Tax Credit (30% no cap)</t>
  </si>
  <si>
    <t>Net Cost after 1 year</t>
  </si>
  <si>
    <t>Financing Example</t>
  </si>
  <si>
    <t>Your monthly TVA credits paid to you for at least 10 years</t>
  </si>
  <si>
    <t>Your average monthly power bill savings over the first 20 years*</t>
  </si>
  <si>
    <t>Immediate net monthly savings</t>
  </si>
  <si>
    <t>Immediate Tax Exempt Property Value Increase</t>
  </si>
  <si>
    <t>Monthly production incentive credit</t>
  </si>
  <si>
    <t>utility price/kwh</t>
  </si>
  <si>
    <t>monthly power bill savings</t>
  </si>
  <si>
    <t>annual savings</t>
  </si>
  <si>
    <t>total savings</t>
  </si>
  <si>
    <t>Year</t>
  </si>
  <si>
    <t>Years to Break Even</t>
  </si>
  <si>
    <t>Financing</t>
  </si>
  <si>
    <t>% of Total Electric Usage</t>
  </si>
  <si>
    <t>Max. Tennessee Energy Grant</t>
  </si>
  <si>
    <t xml:space="preserve"> </t>
  </si>
  <si>
    <t>Metro Services Inc</t>
  </si>
  <si>
    <t>4563 Pinnacle Lane</t>
  </si>
  <si>
    <t>Chattanooga, TN 37415</t>
  </si>
  <si>
    <t>www.metroservicesinc.com</t>
  </si>
  <si>
    <t>423-870-5558                     FAX 423-870-5560</t>
  </si>
  <si>
    <t xml:space="preserve">Your recommended monthly Solar kwh Production   </t>
  </si>
  <si>
    <t>365 days/12 months</t>
  </si>
  <si>
    <t>Total watts recommended translator</t>
  </si>
  <si>
    <t>days/sunlight hours dividers = watts recommended</t>
  </si>
  <si>
    <t>Electric Rate Per KWH</t>
  </si>
  <si>
    <t>kWH</t>
  </si>
  <si>
    <t>SqFt</t>
  </si>
  <si>
    <t>non-taxable resale property increase value</t>
  </si>
  <si>
    <t>C73 + C75</t>
  </si>
  <si>
    <t>TVA Production Incentive @ .12/kwh</t>
  </si>
  <si>
    <t>Loan Calculator</t>
  </si>
  <si>
    <t>Intereste Rate</t>
  </si>
  <si>
    <t>Years of Loan</t>
  </si>
  <si>
    <t>Loan Amount</t>
  </si>
  <si>
    <t>Monthly Payment</t>
  </si>
  <si>
    <t>Total Interest</t>
  </si>
  <si>
    <t>Enter Values</t>
  </si>
  <si>
    <t>Loan Summary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</si>
  <si>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</si>
  <si>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</si>
  <si>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</si>
  <si>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</si>
  <si>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</si>
  <si>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</si>
  <si>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</si>
  <si>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</si>
  <si>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Optional Extra Payments</t>
  </si>
  <si>
    <t>Lender Name:</t>
  </si>
  <si>
    <t>PmtNo.</t>
  </si>
  <si>
    <t>Payment Date</t>
  </si>
  <si>
    <t>Beginning Balance</t>
  </si>
  <si>
    <t>Extra Payment</t>
  </si>
  <si>
    <t>Total Payment</t>
  </si>
  <si>
    <t>Principal</t>
  </si>
  <si>
    <t>Interest</t>
  </si>
  <si>
    <t>Ending Balance</t>
  </si>
  <si>
    <t xml:space="preserve">System Designed For:  </t>
  </si>
  <si>
    <r>
      <t>DO NOT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overlook this incentive as a </t>
    </r>
  </si>
  <si>
    <t xml:space="preserve">  </t>
  </si>
  <si>
    <t>YEARS</t>
  </si>
  <si>
    <t>MONTHS</t>
  </si>
  <si>
    <t>Years</t>
  </si>
  <si>
    <t xml:space="preserve">Cost per installed watt </t>
  </si>
  <si>
    <t>25 year savings</t>
  </si>
  <si>
    <t xml:space="preserve">                 Years to Breakeven</t>
  </si>
  <si>
    <t>Chattanooga, TN 37404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</si>
</sst>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[Red]&quot;($&quot;#,##0\)"/>
    <numFmt numFmtId="165" formatCode="[$$-409]#,##0.00;[Red]\-[$$-409]#,##0.00"/>
    <numFmt numFmtId="166" formatCode="#,##0.00\ ;[Red]\(#,##0.00\)"/>
    <numFmt numFmtId="167" formatCode="0.000"/>
    <numFmt numFmtId="168" formatCode="\$#,##0.00\ ;[Red]&quot;($&quot;#,##0.00\)"/>
    <numFmt numFmtId="169" formatCode="#,##0.0"/>
    <numFmt numFmtId="170" formatCode="[$$-409]#,##0;[Red]\-[$$-409]#,##0"/>
    <numFmt numFmtId="171" formatCode="#,##0\ ;[Red]\(#,##0\)"/>
    <numFmt numFmtId="172" formatCode="\$#,##0"/>
    <numFmt numFmtId="173" formatCode="\$#,##0.00"/>
    <numFmt numFmtId="174" formatCode="[$$-409]#,##0.000;[Red][$$-409]#,##0.000"/>
    <numFmt numFmtId="175" formatCode="&quot;$&quot;#,##0.00"/>
    <numFmt numFmtId="176" formatCode="[$$-409]#,##0.00;[Red][$$-409]#,##0.00"/>
    <numFmt numFmtId="177" formatCode="0.0000"/>
    <numFmt numFmtId="178" formatCode="[$$-409]#,##0.0000;[Red][$$-409]#,##0.0000"/>
    <numFmt numFmtId="179" formatCode="#,##0;[Red]#,##0"/>
    <numFmt numFmtId="180" formatCode="#,##0.00;[Red]#,##0.00"/>
    <numFmt numFmtId="181" formatCode="mmmm\ d\,\ yyyy"/>
    <numFmt numFmtId="182" formatCode="d\-mmm\-yyyy"/>
    <numFmt numFmtId="183" formatCode="mmm\-yyyy"/>
    <numFmt numFmtId="184" formatCode="0.0%"/>
    <numFmt numFmtId="185" formatCode="0_)"/>
    <numFmt numFmtId="186" formatCode="0.00%_)"/>
    <numFmt numFmtId="187" formatCode="[$-409]dddd\,\ mmmm\ dd\,\ yyyy"/>
    <numFmt numFmtId="188" formatCode="m/d/yyyy_)"/>
    <numFmt numFmtId="189" formatCode="0.00?%_)"/>
    <numFmt numFmtId="190" formatCode="0.0??%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50"/>
      <name val="Calibri"/>
      <family val="2"/>
    </font>
    <font>
      <sz val="8"/>
      <color indexed="8"/>
      <name val="Calibri"/>
      <family val="2"/>
    </font>
    <font>
      <b/>
      <sz val="18"/>
      <color indexed="2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57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10"/>
      <name val="Arial"/>
      <family val="2"/>
    </font>
    <font>
      <sz val="7"/>
      <color indexed="8"/>
      <name val="Bitstream Vera Sans"/>
      <family val="0"/>
    </font>
    <font>
      <sz val="9"/>
      <color indexed="8"/>
      <name val="Bitstream Vera Sans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47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1" fontId="0" fillId="24" borderId="0" xfId="24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18" fillId="15" borderId="0" xfId="0" applyFont="1" applyFill="1" applyAlignment="1">
      <alignment vertical="center"/>
    </xf>
    <xf numFmtId="4" fontId="0" fillId="24" borderId="0" xfId="24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69" fontId="0" fillId="24" borderId="0" xfId="24" applyNumberFormat="1" applyFont="1" applyFill="1" applyBorder="1" applyAlignment="1" applyProtection="1">
      <alignment/>
      <protection/>
    </xf>
    <xf numFmtId="3" fontId="0" fillId="24" borderId="0" xfId="24" applyNumberFormat="1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>
      <alignment vertical="center"/>
    </xf>
    <xf numFmtId="0" fontId="0" fillId="24" borderId="0" xfId="24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>
      <alignment vertical="center"/>
    </xf>
    <xf numFmtId="164" fontId="0" fillId="24" borderId="0" xfId="0" applyNumberFormat="1" applyFont="1" applyFill="1" applyBorder="1" applyAlignment="1">
      <alignment vertical="center"/>
    </xf>
    <xf numFmtId="0" fontId="18" fillId="25" borderId="0" xfId="0" applyFont="1" applyFill="1" applyBorder="1" applyAlignment="1">
      <alignment vertical="center"/>
    </xf>
    <xf numFmtId="164" fontId="21" fillId="25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6" fillId="24" borderId="0" xfId="0" applyNumberFormat="1" applyFont="1" applyFill="1" applyBorder="1" applyAlignment="1">
      <alignment vertical="center"/>
    </xf>
    <xf numFmtId="0" fontId="18" fillId="26" borderId="0" xfId="0" applyFont="1" applyFill="1" applyAlignment="1">
      <alignment vertical="center"/>
    </xf>
    <xf numFmtId="170" fontId="0" fillId="0" borderId="10" xfId="0" applyNumberFormat="1" applyFont="1" applyBorder="1" applyAlignment="1">
      <alignment vertical="center"/>
    </xf>
    <xf numFmtId="171" fontId="0" fillId="0" borderId="0" xfId="0" applyNumberFormat="1" applyBorder="1" applyAlignment="1">
      <alignment/>
    </xf>
    <xf numFmtId="164" fontId="16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vertical="center"/>
    </xf>
    <xf numFmtId="164" fontId="19" fillId="11" borderId="0" xfId="0" applyNumberFormat="1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165" fontId="22" fillId="24" borderId="0" xfId="0" applyNumberFormat="1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0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5" fontId="0" fillId="0" borderId="0" xfId="0" applyNumberFormat="1" applyAlignment="1">
      <alignment/>
    </xf>
    <xf numFmtId="175" fontId="20" fillId="0" borderId="0" xfId="0" applyNumberFormat="1" applyFont="1" applyAlignment="1">
      <alignment/>
    </xf>
    <xf numFmtId="175" fontId="20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Alignment="1">
      <alignment horizontal="right" vertical="center"/>
    </xf>
    <xf numFmtId="0" fontId="0" fillId="24" borderId="0" xfId="24" applyNumberFormat="1" applyFont="1" applyFill="1" applyBorder="1" applyAlignment="1" applyProtection="1">
      <alignment horizontal="right"/>
      <protection/>
    </xf>
    <xf numFmtId="0" fontId="0" fillId="24" borderId="0" xfId="24" applyNumberFormat="1" applyFont="1" applyFill="1" applyBorder="1" applyAlignment="1" applyProtection="1">
      <alignment horizontal="right" vertical="center"/>
      <protection/>
    </xf>
    <xf numFmtId="0" fontId="20" fillId="24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6" fillId="0" borderId="0" xfId="54" applyAlignment="1" applyProtection="1">
      <alignment horizontal="left"/>
      <protection/>
    </xf>
    <xf numFmtId="1" fontId="0" fillId="0" borderId="0" xfId="0" applyNumberFormat="1" applyAlignment="1">
      <alignment/>
    </xf>
    <xf numFmtId="10" fontId="20" fillId="0" borderId="0" xfId="0" applyNumberFormat="1" applyFont="1" applyAlignment="1">
      <alignment vertical="center"/>
    </xf>
    <xf numFmtId="0" fontId="0" fillId="0" borderId="11" xfId="24" applyNumberFormat="1" applyFont="1" applyFill="1" applyBorder="1" applyAlignment="1" applyProtection="1">
      <alignment/>
      <protection/>
    </xf>
    <xf numFmtId="164" fontId="0" fillId="0" borderId="11" xfId="24" applyNumberFormat="1" applyFont="1" applyFill="1" applyBorder="1" applyAlignment="1" applyProtection="1">
      <alignment/>
      <protection/>
    </xf>
    <xf numFmtId="4" fontId="0" fillId="0" borderId="11" xfId="24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1" fillId="27" borderId="0" xfId="24" applyNumberFormat="1" applyFont="1" applyFill="1" applyBorder="1" applyAlignment="1" applyProtection="1">
      <alignment/>
      <protection/>
    </xf>
    <xf numFmtId="0" fontId="21" fillId="27" borderId="0" xfId="24" applyNumberFormat="1" applyFont="1" applyFill="1" applyBorder="1" applyAlignment="1" applyProtection="1">
      <alignment horizontal="right"/>
      <protection/>
    </xf>
    <xf numFmtId="179" fontId="19" fillId="27" borderId="0" xfId="24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2" fontId="20" fillId="26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8" fontId="0" fillId="0" borderId="0" xfId="0" applyNumberFormat="1" applyAlignment="1">
      <alignment/>
    </xf>
    <xf numFmtId="42" fontId="1" fillId="0" borderId="0" xfId="44" applyNumberFormat="1" applyAlignment="1">
      <alignment/>
    </xf>
    <xf numFmtId="0" fontId="31" fillId="28" borderId="0" xfId="58" applyFont="1" applyFill="1" applyBorder="1" applyAlignment="1">
      <alignment horizontal="left"/>
      <protection/>
    </xf>
    <xf numFmtId="0" fontId="1" fillId="28" borderId="0" xfId="58" applyFont="1" applyFill="1" applyBorder="1" applyAlignment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>
      <alignment/>
      <protection/>
    </xf>
    <xf numFmtId="0" fontId="1" fillId="28" borderId="0" xfId="58" applyFont="1" applyFill="1" applyBorder="1">
      <alignment/>
      <protection/>
    </xf>
    <xf numFmtId="0" fontId="1" fillId="28" borderId="12" xfId="58" applyFill="1" applyBorder="1">
      <alignment/>
      <protection/>
    </xf>
    <xf numFmtId="0" fontId="1" fillId="28" borderId="0" xfId="58" applyFill="1" applyBorder="1">
      <alignment/>
      <protection/>
    </xf>
    <xf numFmtId="0" fontId="1" fillId="0" borderId="0" xfId="58" applyNumberFormat="1" applyFont="1" applyBorder="1" applyAlignment="1">
      <alignment horizontal="left"/>
      <protection/>
    </xf>
    <xf numFmtId="0" fontId="1" fillId="28" borderId="0" xfId="58" applyFont="1" applyFill="1" applyBorder="1" applyAlignment="1">
      <alignment horizontal="center"/>
      <protection/>
    </xf>
    <xf numFmtId="0" fontId="1" fillId="28" borderId="13" xfId="58" applyFont="1" applyFill="1" applyBorder="1" applyAlignment="1">
      <alignment horizontal="left"/>
      <protection/>
    </xf>
    <xf numFmtId="0" fontId="1" fillId="28" borderId="0" xfId="58" applyFont="1" applyFill="1" applyBorder="1" applyAlignment="1">
      <alignment horizontal="right"/>
      <protection/>
    </xf>
    <xf numFmtId="44" fontId="1" fillId="28" borderId="14" xfId="46" applyFont="1" applyFill="1" applyBorder="1" applyAlignment="1" applyProtection="1">
      <alignment horizontal="right"/>
      <protection locked="0"/>
    </xf>
    <xf numFmtId="44" fontId="1" fillId="29" borderId="14" xfId="46" applyFont="1" applyFill="1" applyBorder="1" applyAlignment="1">
      <alignment horizontal="right"/>
    </xf>
    <xf numFmtId="189" fontId="1" fillId="28" borderId="15" xfId="58" applyNumberFormat="1" applyFont="1" applyFill="1" applyBorder="1" applyAlignment="1" applyProtection="1">
      <alignment horizontal="right"/>
      <protection locked="0"/>
    </xf>
    <xf numFmtId="185" fontId="1" fillId="29" borderId="15" xfId="58" applyNumberFormat="1" applyFont="1" applyFill="1" applyBorder="1" applyAlignment="1">
      <alignment horizontal="right"/>
      <protection/>
    </xf>
    <xf numFmtId="0" fontId="1" fillId="28" borderId="0" xfId="58" applyNumberFormat="1" applyFont="1" applyFill="1" applyBorder="1" applyAlignment="1">
      <alignment horizontal="left"/>
      <protection/>
    </xf>
    <xf numFmtId="185" fontId="1" fillId="28" borderId="15" xfId="58" applyNumberFormat="1" applyFont="1" applyFill="1" applyBorder="1" applyAlignment="1" applyProtection="1">
      <alignment horizontal="right"/>
      <protection locked="0"/>
    </xf>
    <xf numFmtId="14" fontId="1" fillId="28" borderId="15" xfId="58" applyNumberFormat="1" applyFont="1" applyFill="1" applyBorder="1" applyAlignment="1" applyProtection="1">
      <alignment horizontal="right"/>
      <protection locked="0"/>
    </xf>
    <xf numFmtId="0" fontId="1" fillId="28" borderId="16" xfId="58" applyFont="1" applyFill="1" applyBorder="1" applyAlignment="1">
      <alignment horizontal="left"/>
      <protection/>
    </xf>
    <xf numFmtId="0" fontId="1" fillId="28" borderId="17" xfId="58" applyFont="1" applyFill="1" applyBorder="1" applyAlignment="1">
      <alignment horizontal="right"/>
      <protection/>
    </xf>
    <xf numFmtId="44" fontId="1" fillId="28" borderId="15" xfId="46" applyFont="1" applyFill="1" applyBorder="1" applyAlignment="1" applyProtection="1">
      <alignment horizontal="right"/>
      <protection locked="0"/>
    </xf>
    <xf numFmtId="0" fontId="32" fillId="28" borderId="0" xfId="58" applyFont="1" applyFill="1" applyBorder="1" applyAlignment="1">
      <alignment horizontal="right"/>
      <protection/>
    </xf>
    <xf numFmtId="0" fontId="1" fillId="28" borderId="0" xfId="58" applyFill="1">
      <alignment/>
      <protection/>
    </xf>
    <xf numFmtId="0" fontId="32" fillId="28" borderId="0" xfId="58" applyFont="1" applyFill="1" applyBorder="1" applyAlignment="1" applyProtection="1">
      <alignment horizontal="left" wrapText="1"/>
      <protection/>
    </xf>
    <xf numFmtId="0" fontId="32" fillId="28" borderId="18" xfId="58" applyFont="1" applyFill="1" applyBorder="1" applyAlignment="1" applyProtection="1">
      <alignment horizontal="left" wrapText="1" indent="2"/>
      <protection/>
    </xf>
    <xf numFmtId="0" fontId="32" fillId="28" borderId="18" xfId="58" applyFont="1" applyFill="1" applyBorder="1" applyAlignment="1" applyProtection="1">
      <alignment horizontal="left" wrapText="1" indent="3"/>
      <protection/>
    </xf>
    <xf numFmtId="0" fontId="1" fillId="0" borderId="0" xfId="58" applyNumberFormat="1" applyFont="1" applyBorder="1" applyAlignment="1">
      <alignment wrapText="1"/>
      <protection/>
    </xf>
    <xf numFmtId="0" fontId="1" fillId="0" borderId="0" xfId="58" applyFont="1" applyBorder="1" applyAlignment="1">
      <alignment wrapText="1"/>
      <protection/>
    </xf>
    <xf numFmtId="0" fontId="32" fillId="28" borderId="12" xfId="58" applyFont="1" applyFill="1" applyBorder="1" applyAlignment="1" applyProtection="1">
      <alignment horizontal="left" wrapText="1" indent="2"/>
      <protection/>
    </xf>
    <xf numFmtId="0" fontId="32" fillId="28" borderId="12" xfId="58" applyFont="1" applyFill="1" applyBorder="1" applyAlignment="1" applyProtection="1">
      <alignment horizontal="left" wrapText="1" indent="3"/>
      <protection/>
    </xf>
    <xf numFmtId="0" fontId="33" fillId="28" borderId="0" xfId="58" applyFont="1" applyFill="1" applyBorder="1" applyAlignment="1">
      <alignment horizontal="right"/>
      <protection/>
    </xf>
    <xf numFmtId="14" fontId="33" fillId="28" borderId="0" xfId="58" applyNumberFormat="1" applyFont="1" applyFill="1" applyBorder="1" applyAlignment="1">
      <alignment horizontal="right"/>
      <protection/>
    </xf>
    <xf numFmtId="44" fontId="33" fillId="28" borderId="0" xfId="46" applyFont="1" applyFill="1" applyBorder="1" applyAlignment="1">
      <alignment horizontal="right"/>
    </xf>
    <xf numFmtId="44" fontId="1" fillId="28" borderId="0" xfId="46" applyFont="1" applyFill="1" applyBorder="1" applyAlignment="1" applyProtection="1">
      <alignment horizontal="right"/>
      <protection locked="0"/>
    </xf>
    <xf numFmtId="39" fontId="33" fillId="28" borderId="0" xfId="46" applyNumberFormat="1" applyFont="1" applyFill="1" applyBorder="1" applyAlignment="1">
      <alignment horizontal="right"/>
    </xf>
    <xf numFmtId="43" fontId="1" fillId="28" borderId="0" xfId="46" applyNumberFormat="1" applyFont="1" applyFill="1" applyBorder="1" applyAlignment="1" applyProtection="1">
      <alignment horizontal="right"/>
      <protection locked="0"/>
    </xf>
    <xf numFmtId="0" fontId="1" fillId="0" borderId="0" xfId="58" applyFont="1">
      <alignment/>
      <protection/>
    </xf>
    <xf numFmtId="0" fontId="1" fillId="0" borderId="0" xfId="58" applyNumberFormat="1" applyFont="1" applyBorder="1" applyAlignment="1">
      <alignment horizontal="center"/>
      <protection/>
    </xf>
    <xf numFmtId="0" fontId="18" fillId="3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9" fontId="1" fillId="0" borderId="0" xfId="61" applyFill="1" applyAlignment="1">
      <alignment/>
    </xf>
    <xf numFmtId="42" fontId="1" fillId="0" borderId="0" xfId="44" applyNumberFormat="1" applyFill="1" applyAlignment="1">
      <alignment/>
    </xf>
    <xf numFmtId="8" fontId="0" fillId="0" borderId="0" xfId="0" applyNumberFormat="1" applyFill="1" applyAlignment="1">
      <alignment/>
    </xf>
    <xf numFmtId="0" fontId="20" fillId="0" borderId="19" xfId="0" applyFont="1" applyBorder="1" applyAlignment="1">
      <alignment vertical="center"/>
    </xf>
    <xf numFmtId="8" fontId="0" fillId="31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5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5" fontId="16" fillId="0" borderId="0" xfId="0" applyNumberFormat="1" applyFont="1" applyFill="1" applyAlignment="1">
      <alignment vertical="center"/>
    </xf>
    <xf numFmtId="164" fontId="34" fillId="0" borderId="0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165" fontId="22" fillId="0" borderId="20" xfId="0" applyNumberFormat="1" applyFont="1" applyFill="1" applyBorder="1" applyAlignment="1">
      <alignment vertical="center"/>
    </xf>
    <xf numFmtId="165" fontId="34" fillId="24" borderId="0" xfId="0" applyNumberFormat="1" applyFont="1" applyFill="1" applyAlignment="1">
      <alignment vertical="center"/>
    </xf>
    <xf numFmtId="175" fontId="35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0" fontId="36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8" fontId="0" fillId="0" borderId="0" xfId="0" applyNumberFormat="1" applyFill="1" applyAlignment="1">
      <alignment vertical="center"/>
    </xf>
    <xf numFmtId="8" fontId="17" fillId="0" borderId="0" xfId="0" applyNumberFormat="1" applyFont="1" applyAlignment="1">
      <alignment/>
    </xf>
    <xf numFmtId="8" fontId="29" fillId="0" borderId="0" xfId="0" applyNumberFormat="1" applyFont="1" applyAlignment="1">
      <alignment/>
    </xf>
    <xf numFmtId="8" fontId="29" fillId="0" borderId="0" xfId="0" applyNumberFormat="1" applyFont="1" applyFill="1" applyAlignment="1">
      <alignment/>
    </xf>
    <xf numFmtId="8" fontId="29" fillId="0" borderId="0" xfId="0" applyNumberFormat="1" applyFont="1" applyFill="1" applyAlignment="1">
      <alignment vertical="center"/>
    </xf>
    <xf numFmtId="6" fontId="17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75" fontId="0" fillId="32" borderId="0" xfId="0" applyNumberFormat="1" applyFill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left"/>
    </xf>
    <xf numFmtId="0" fontId="1" fillId="28" borderId="21" xfId="58" applyFont="1" applyFill="1" applyBorder="1" applyAlignment="1" applyProtection="1">
      <alignment horizontal="left"/>
      <protection locked="0"/>
    </xf>
    <xf numFmtId="0" fontId="1" fillId="28" borderId="22" xfId="58" applyFont="1" applyFill="1" applyBorder="1" applyAlignment="1" applyProtection="1">
      <alignment horizontal="left"/>
      <protection locked="0"/>
    </xf>
    <xf numFmtId="0" fontId="32" fillId="28" borderId="21" xfId="58" applyFont="1" applyFill="1" applyBorder="1" applyAlignment="1">
      <alignment horizontal="center"/>
      <protection/>
    </xf>
    <xf numFmtId="0" fontId="32" fillId="28" borderId="23" xfId="58" applyFont="1" applyFill="1" applyBorder="1" applyAlignment="1">
      <alignment horizontal="center"/>
      <protection/>
    </xf>
    <xf numFmtId="0" fontId="32" fillId="28" borderId="22" xfId="58" applyFont="1" applyFill="1" applyBorder="1" applyAlignment="1">
      <alignment horizontal="center"/>
      <protection/>
    </xf>
    <xf numFmtId="175" fontId="0" fillId="0" borderId="0" xfId="0" applyNumberFormat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8" fontId="0" fillId="0" borderId="0" xfId="0" applyNumberFormat="1" applyFill="1" applyAlignment="1" applyProtection="1">
      <alignment/>
      <protection hidden="1" locked="0"/>
    </xf>
    <xf numFmtId="175" fontId="0" fillId="0" borderId="24" xfId="0" applyNumberForma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24" xfId="0" applyBorder="1" applyAlignment="1" applyProtection="1">
      <alignment horizontal="right"/>
      <protection hidden="1" locked="0"/>
    </xf>
    <xf numFmtId="3" fontId="0" fillId="0" borderId="25" xfId="0" applyNumberFormat="1" applyBorder="1" applyAlignment="1" applyProtection="1">
      <alignment vertical="center"/>
      <protection hidden="1" locked="0"/>
    </xf>
    <xf numFmtId="44" fontId="1" fillId="0" borderId="25" xfId="44" applyBorder="1" applyAlignment="1" applyProtection="1">
      <alignment/>
      <protection hidden="1" locked="0"/>
    </xf>
    <xf numFmtId="3" fontId="0" fillId="0" borderId="25" xfId="0" applyNumberFormat="1" applyBorder="1" applyAlignment="1" applyProtection="1">
      <alignment/>
      <protection hidden="1" locked="0"/>
    </xf>
    <xf numFmtId="4" fontId="16" fillId="0" borderId="0" xfId="0" applyNumberFormat="1" applyFont="1" applyAlignment="1" applyProtection="1">
      <alignment/>
      <protection hidden="1" locked="0"/>
    </xf>
    <xf numFmtId="4" fontId="35" fillId="0" borderId="20" xfId="0" applyNumberFormat="1" applyFont="1" applyBorder="1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165" fontId="19" fillId="27" borderId="11" xfId="24" applyNumberFormat="1" applyFont="1" applyFill="1" applyBorder="1" applyAlignment="1" applyProtection="1">
      <alignment vertical="center"/>
      <protection locked="0"/>
    </xf>
    <xf numFmtId="167" fontId="2" fillId="27" borderId="0" xfId="0" applyNumberFormat="1" applyFont="1" applyFill="1" applyAlignment="1" applyProtection="1">
      <alignment vertical="center"/>
      <protection locked="0"/>
    </xf>
    <xf numFmtId="10" fontId="36" fillId="0" borderId="0" xfId="0" applyNumberFormat="1" applyFont="1" applyAlignment="1" applyProtection="1">
      <alignment vertical="center"/>
      <protection locked="0"/>
    </xf>
    <xf numFmtId="168" fontId="0" fillId="24" borderId="0" xfId="24" applyNumberFormat="1" applyFont="1" applyFill="1" applyBorder="1" applyAlignment="1" applyProtection="1">
      <alignment horizontal="right"/>
      <protection/>
    </xf>
    <xf numFmtId="165" fontId="0" fillId="24" borderId="20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8" fontId="37" fillId="0" borderId="0" xfId="0" applyNumberFormat="1" applyFont="1" applyAlignment="1" applyProtection="1">
      <alignment/>
      <protection hidden="1"/>
    </xf>
    <xf numFmtId="9" fontId="1" fillId="0" borderId="0" xfId="6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Loan Amortization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Loan Amortization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CC"/>
      <rgbColor rgb="00FF00FF"/>
      <rgbColor rgb="0000FFFF"/>
      <rgbColor rgb="00800000"/>
      <rgbColor rgb="00008000"/>
      <rgbColor rgb="00000080"/>
      <rgbColor rgb="00999999"/>
      <rgbColor rgb="00800080"/>
      <rgbColor rgb="0033CC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3CC00"/>
      <rgbColor rgb="00FFCC00"/>
      <rgbColor rgb="00FF9900"/>
      <rgbColor rgb="00FF6600"/>
      <rgbColor rgb="009966FF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205"/>
          <c:w val="0.874"/>
          <c:h val="0.63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Data'!$A$2:$A$21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Data'!$B$2:$B$21</c:f>
              <c:numCache>
                <c:ptCount val="20"/>
                <c:pt idx="0">
                  <c:v>-7553.667642838018</c:v>
                </c:pt>
                <c:pt idx="1">
                  <c:v>-6004.979968761717</c:v>
                </c:pt>
                <c:pt idx="2">
                  <c:v>-4428.247350865191</c:v>
                </c:pt>
                <c:pt idx="3">
                  <c:v>-2822.3479913956317</c:v>
                </c:pt>
                <c:pt idx="4">
                  <c:v>-1186.115220690117</c:v>
                </c:pt>
                <c:pt idx="5">
                  <c:v>481.6642977007905</c:v>
                </c:pt>
                <c:pt idx="6">
                  <c:v>2182.252433684507</c:v>
                </c:pt>
                <c:pt idx="7">
                  <c:v>3916.9615319647455</c:v>
                </c:pt>
                <c:pt idx="8">
                  <c:v>5687.156431033367</c:v>
                </c:pt>
                <c:pt idx="9">
                  <c:v>7494.256562921906</c:v>
                </c:pt>
                <c:pt idx="10">
                  <c:v>9339.738136943157</c:v>
                </c:pt>
                <c:pt idx="11">
                  <c:v>11225.13641078243</c:v>
                </c:pt>
                <c:pt idx="12">
                  <c:v>13152.048052432448</c:v>
                </c:pt>
                <c:pt idx="13">
                  <c:v>15122.13359660564</c:v>
                </c:pt>
                <c:pt idx="14">
                  <c:v>17137.11999940293</c:v>
                </c:pt>
                <c:pt idx="15">
                  <c:v>19198.803295169288</c:v>
                </c:pt>
                <c:pt idx="16">
                  <c:v>21309.05135962347</c:v>
                </c:pt>
                <c:pt idx="17">
                  <c:v>23469.806783512995</c:v>
                </c:pt>
                <c:pt idx="18">
                  <c:v>25683.08986121527</c:v>
                </c:pt>
                <c:pt idx="19">
                  <c:v>27951.00169888281</c:v>
                </c:pt>
              </c:numCache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68650"/>
        <c:crossesAt val="0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89345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50</xdr:row>
      <xdr:rowOff>0</xdr:rowOff>
    </xdr:from>
    <xdr:to>
      <xdr:col>2</xdr:col>
      <xdr:colOff>314325</xdr:colOff>
      <xdr:row>61</xdr:row>
      <xdr:rowOff>104775</xdr:rowOff>
    </xdr:to>
    <xdr:graphicFrame>
      <xdr:nvGraphicFramePr>
        <xdr:cNvPr id="1" name="Chart 2"/>
        <xdr:cNvGraphicFramePr/>
      </xdr:nvGraphicFramePr>
      <xdr:xfrm>
        <a:off x="171450" y="10372725"/>
        <a:ext cx="37147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2724150</xdr:colOff>
      <xdr:row>0</xdr:row>
      <xdr:rowOff>0</xdr:rowOff>
    </xdr:from>
    <xdr:to>
      <xdr:col>3</xdr:col>
      <xdr:colOff>0</xdr:colOff>
      <xdr:row>7</xdr:row>
      <xdr:rowOff>57150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rcRect b="30880"/>
        <a:stretch>
          <a:fillRect/>
        </a:stretch>
      </xdr:blipFill>
      <xdr:spPr>
        <a:xfrm>
          <a:off x="2914650" y="0"/>
          <a:ext cx="1743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servicesinc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4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2.8515625" style="0" customWidth="1"/>
    <col min="2" max="2" width="50.7109375" style="0" customWidth="1"/>
    <col min="3" max="3" width="16.28125" style="0" customWidth="1"/>
    <col min="4" max="4" width="13.140625" style="33" customWidth="1"/>
    <col min="5" max="5" width="11.8515625" style="0" customWidth="1"/>
    <col min="6" max="6" width="11.7109375" style="0" customWidth="1"/>
    <col min="7" max="7" width="15.421875" style="0" customWidth="1"/>
    <col min="8" max="13" width="11.57421875" style="0" customWidth="1"/>
    <col min="14" max="14" width="10.8515625" style="0" customWidth="1"/>
    <col min="15" max="23" width="12.00390625" style="0" customWidth="1"/>
  </cols>
  <sheetData>
    <row r="2" spans="1:2" ht="15">
      <c r="A2" s="54"/>
      <c r="B2" s="54" t="s">
        <v>32</v>
      </c>
    </row>
    <row r="3" spans="1:2" ht="15">
      <c r="A3" s="54"/>
      <c r="B3" s="54" t="s">
        <v>33</v>
      </c>
    </row>
    <row r="4" spans="1:2" ht="15">
      <c r="A4" s="54"/>
      <c r="B4" s="124" t="s">
        <v>34</v>
      </c>
    </row>
    <row r="5" ht="15">
      <c r="B5" s="47"/>
    </row>
    <row r="6" spans="2:13" ht="15">
      <c r="B6" s="48" t="s">
        <v>35</v>
      </c>
      <c r="E6" s="1"/>
      <c r="F6" s="1"/>
      <c r="G6" s="1"/>
      <c r="H6" s="1"/>
      <c r="I6" s="1"/>
      <c r="J6" s="1"/>
      <c r="K6" s="1"/>
      <c r="L6" s="1"/>
      <c r="M6" s="1"/>
    </row>
    <row r="7" spans="2:13" ht="15">
      <c r="B7" t="s">
        <v>36</v>
      </c>
      <c r="E7" s="2"/>
      <c r="F7" s="2"/>
      <c r="G7" s="2"/>
      <c r="H7" s="2"/>
      <c r="I7" s="2"/>
      <c r="J7" s="2"/>
      <c r="K7" s="2"/>
      <c r="L7" s="2"/>
      <c r="M7" s="2"/>
    </row>
    <row r="8" spans="5:13" ht="15">
      <c r="E8" s="2"/>
      <c r="F8" s="3"/>
      <c r="G8" s="2"/>
      <c r="H8" s="2"/>
      <c r="I8" s="2"/>
      <c r="J8" s="2"/>
      <c r="K8" s="2"/>
      <c r="L8" s="3"/>
      <c r="M8" s="2"/>
    </row>
    <row r="9" spans="2:13" ht="18.75">
      <c r="B9" s="55" t="s">
        <v>73</v>
      </c>
      <c r="H9" s="2"/>
      <c r="I9" s="2"/>
      <c r="J9" s="2"/>
      <c r="K9" s="2"/>
      <c r="L9" s="3"/>
      <c r="M9" s="2"/>
    </row>
    <row r="10" spans="2:13" ht="15">
      <c r="B10" s="54" t="s">
        <v>31</v>
      </c>
      <c r="H10" s="2"/>
      <c r="I10" s="2"/>
      <c r="J10" s="2"/>
      <c r="K10" s="2"/>
      <c r="L10" s="3"/>
      <c r="M10" s="2"/>
    </row>
    <row r="11" spans="2:13" ht="15">
      <c r="B11" s="54" t="s">
        <v>31</v>
      </c>
      <c r="E11" s="2"/>
      <c r="F11" s="3"/>
      <c r="G11" s="2"/>
      <c r="H11" s="2"/>
      <c r="I11" s="2"/>
      <c r="J11" s="2"/>
      <c r="K11" s="2"/>
      <c r="L11" s="3"/>
      <c r="M11" s="2"/>
    </row>
    <row r="12" spans="2:13" ht="15">
      <c r="B12" s="54" t="s">
        <v>82</v>
      </c>
      <c r="E12" s="2"/>
      <c r="F12" s="3"/>
      <c r="G12" s="2"/>
      <c r="H12" s="2"/>
      <c r="I12" s="2"/>
      <c r="J12" s="2"/>
      <c r="K12" s="2"/>
      <c r="L12" s="3"/>
      <c r="M12" s="2"/>
    </row>
    <row r="13" spans="2:13" ht="15">
      <c r="B13" s="54" t="s">
        <v>31</v>
      </c>
      <c r="E13" s="2"/>
      <c r="F13" s="9" t="s">
        <v>31</v>
      </c>
      <c r="G13" s="2"/>
      <c r="H13" s="2"/>
      <c r="I13" s="2"/>
      <c r="J13" s="2"/>
      <c r="K13" s="2"/>
      <c r="L13" s="3"/>
      <c r="M13" s="2"/>
    </row>
    <row r="14" spans="2:13" ht="21">
      <c r="B14" s="58" t="s">
        <v>0</v>
      </c>
      <c r="C14" s="155">
        <v>200</v>
      </c>
      <c r="D14" s="34" t="s">
        <v>31</v>
      </c>
      <c r="E14" s="2"/>
      <c r="G14" s="2"/>
      <c r="H14" s="2"/>
      <c r="I14" s="2"/>
      <c r="J14" s="2"/>
      <c r="K14" s="2"/>
      <c r="L14" s="3"/>
      <c r="M14" s="2"/>
    </row>
    <row r="15" spans="2:13" ht="18.75">
      <c r="B15" s="59" t="s">
        <v>41</v>
      </c>
      <c r="C15" s="156">
        <v>0.09499</v>
      </c>
      <c r="D15" s="34"/>
      <c r="E15" s="2"/>
      <c r="F15" s="4"/>
      <c r="G15" s="2"/>
      <c r="H15" s="2"/>
      <c r="I15" s="2"/>
      <c r="J15" s="2"/>
      <c r="K15" s="2"/>
      <c r="L15" s="3"/>
      <c r="M15" s="2"/>
    </row>
    <row r="16" spans="2:13" ht="21">
      <c r="B16" s="58" t="s">
        <v>1</v>
      </c>
      <c r="C16" s="60">
        <f>PRODUCT(C14/C15)</f>
        <v>2105.4847878724077</v>
      </c>
      <c r="D16" s="34"/>
      <c r="E16" s="2"/>
      <c r="F16" s="4"/>
      <c r="G16" s="9"/>
      <c r="H16" s="2"/>
      <c r="I16" s="2"/>
      <c r="J16" s="2"/>
      <c r="K16" s="2"/>
      <c r="L16" s="3"/>
      <c r="M16" s="2"/>
    </row>
    <row r="17" spans="2:13" ht="15">
      <c r="B17" s="42" t="s">
        <v>37</v>
      </c>
      <c r="C17" s="5">
        <f>C14/C15*D18/0.89</f>
        <v>591.4283112001145</v>
      </c>
      <c r="D17" s="34" t="s">
        <v>42</v>
      </c>
      <c r="E17" s="2"/>
      <c r="G17" s="2"/>
      <c r="H17" s="2"/>
      <c r="I17" s="2"/>
      <c r="J17" s="2"/>
      <c r="K17" s="2"/>
      <c r="L17" s="3"/>
      <c r="M17" s="2"/>
    </row>
    <row r="18" spans="2:13" ht="15">
      <c r="B18" s="125" t="s">
        <v>29</v>
      </c>
      <c r="C18" s="157">
        <v>0.25</v>
      </c>
      <c r="D18" s="57">
        <f>PRODUCT(C18/10%/10)</f>
        <v>0.25</v>
      </c>
      <c r="E18" s="2" t="s">
        <v>31</v>
      </c>
      <c r="F18" s="3"/>
      <c r="G18" s="2"/>
      <c r="H18" s="2"/>
      <c r="I18" s="2"/>
      <c r="J18" s="2"/>
      <c r="K18" s="2"/>
      <c r="L18" s="3"/>
      <c r="M18" s="2"/>
    </row>
    <row r="19" spans="2:13" ht="15">
      <c r="B19" s="41" t="s">
        <v>31</v>
      </c>
      <c r="C19" s="50"/>
      <c r="D19" s="57"/>
      <c r="E19" s="2" t="s">
        <v>31</v>
      </c>
      <c r="F19" s="3"/>
      <c r="G19" s="2"/>
      <c r="H19" s="2"/>
      <c r="I19" s="2"/>
      <c r="J19" s="2"/>
      <c r="K19" s="2"/>
      <c r="L19" s="3"/>
      <c r="M19" s="2"/>
    </row>
    <row r="20" spans="2:13" ht="21">
      <c r="B20" s="7" t="s">
        <v>2</v>
      </c>
      <c r="C20" s="7"/>
      <c r="D20" s="34"/>
      <c r="E20" s="2" t="s">
        <v>31</v>
      </c>
      <c r="F20" s="63"/>
      <c r="G20" s="2"/>
      <c r="H20" s="2"/>
      <c r="I20" s="2"/>
      <c r="J20" s="2"/>
      <c r="K20" s="2"/>
      <c r="L20" s="3"/>
      <c r="M20" s="2"/>
    </row>
    <row r="21" spans="2:13" ht="15">
      <c r="B21" s="43" t="s">
        <v>3</v>
      </c>
      <c r="C21" s="8">
        <f>(C26*C24)/1000</f>
        <v>4.031412093658121</v>
      </c>
      <c r="D21" s="35" t="s">
        <v>4</v>
      </c>
      <c r="E21" s="2"/>
      <c r="F21" s="3"/>
      <c r="G21" s="2"/>
      <c r="H21" s="2"/>
      <c r="I21" s="2"/>
      <c r="J21" s="2"/>
      <c r="K21" s="2"/>
      <c r="L21" s="3"/>
      <c r="M21" s="2"/>
    </row>
    <row r="22" spans="2:13" ht="15">
      <c r="B22" s="42" t="s">
        <v>79</v>
      </c>
      <c r="C22" s="158">
        <v>8</v>
      </c>
      <c r="D22" s="34"/>
      <c r="E22" s="2"/>
      <c r="F22" s="3"/>
      <c r="G22" s="2"/>
      <c r="H22" s="2"/>
      <c r="I22" s="2"/>
      <c r="J22" s="2"/>
      <c r="K22" s="2"/>
      <c r="L22" s="3"/>
      <c r="M22" s="2"/>
    </row>
    <row r="23" spans="2:13" ht="15">
      <c r="B23" s="42" t="s">
        <v>5</v>
      </c>
      <c r="C23" s="10">
        <v>4.81</v>
      </c>
      <c r="D23" s="34"/>
      <c r="E23" s="2"/>
      <c r="F23" s="3"/>
      <c r="G23" s="18"/>
      <c r="H23" s="18"/>
      <c r="I23" s="18"/>
      <c r="J23" s="18"/>
      <c r="K23" s="18"/>
      <c r="L23" s="3"/>
      <c r="M23" s="2"/>
    </row>
    <row r="24" spans="2:13" ht="15">
      <c r="B24" s="42" t="s">
        <v>6</v>
      </c>
      <c r="C24" s="11">
        <f>C65/C26</f>
        <v>23.03664053518926</v>
      </c>
      <c r="D24" s="34"/>
      <c r="E24" s="2"/>
      <c r="F24" s="3"/>
      <c r="G24" s="56" t="s">
        <v>31</v>
      </c>
      <c r="L24" s="3"/>
      <c r="M24" s="2"/>
    </row>
    <row r="25" spans="2:13" ht="15">
      <c r="B25" s="43" t="s">
        <v>7</v>
      </c>
      <c r="C25" s="12">
        <f>C24*13.77</f>
        <v>317.21454016955613</v>
      </c>
      <c r="D25" s="35" t="s">
        <v>43</v>
      </c>
      <c r="E25" s="2"/>
      <c r="F25" s="3"/>
      <c r="L25" s="3"/>
      <c r="M25" s="2"/>
    </row>
    <row r="26" spans="2:13" ht="15">
      <c r="B26" s="42" t="s">
        <v>8</v>
      </c>
      <c r="C26" s="13">
        <v>175</v>
      </c>
      <c r="D26" s="36"/>
      <c r="E26" s="2"/>
      <c r="F26" s="3"/>
      <c r="L26" s="3"/>
      <c r="M26" s="2"/>
    </row>
    <row r="27" spans="2:13" ht="15">
      <c r="B27" s="14"/>
      <c r="C27" s="15"/>
      <c r="D27" s="36"/>
      <c r="E27" s="2"/>
      <c r="F27" s="2"/>
      <c r="L27" s="2"/>
      <c r="M27" s="2"/>
    </row>
    <row r="28" spans="2:13" ht="21">
      <c r="B28" s="16" t="s">
        <v>9</v>
      </c>
      <c r="C28" s="17"/>
      <c r="D28" s="36"/>
      <c r="E28" s="2"/>
      <c r="F28" s="2"/>
      <c r="L28" s="2"/>
      <c r="M28" s="2"/>
    </row>
    <row r="29" spans="2:13" ht="15">
      <c r="B29" s="44" t="s">
        <v>10</v>
      </c>
      <c r="C29" s="15">
        <f>C22*C65</f>
        <v>32251.296749264966</v>
      </c>
      <c r="D29" s="36"/>
      <c r="E29" s="18"/>
      <c r="F29" s="18"/>
      <c r="L29" s="18"/>
      <c r="M29" s="18"/>
    </row>
    <row r="30" spans="2:11" ht="15.75" thickBot="1">
      <c r="B30" s="44" t="s">
        <v>11</v>
      </c>
      <c r="C30" s="159">
        <v>-1000</v>
      </c>
      <c r="D30" s="36"/>
      <c r="G30" s="2"/>
      <c r="H30" s="18"/>
      <c r="I30" s="18"/>
      <c r="J30" s="18"/>
      <c r="K30" s="18"/>
    </row>
    <row r="31" spans="2:4" ht="15.75" thickTop="1">
      <c r="B31" s="44" t="s">
        <v>12</v>
      </c>
      <c r="C31" s="19">
        <f>C29+C30</f>
        <v>31251.296749264966</v>
      </c>
      <c r="D31" s="36"/>
    </row>
    <row r="32" spans="2:4" ht="15">
      <c r="B32" s="6"/>
      <c r="C32" s="6"/>
      <c r="D32" s="36"/>
    </row>
    <row r="33" spans="2:4" ht="21">
      <c r="B33" s="20" t="s">
        <v>13</v>
      </c>
      <c r="C33" s="62">
        <v>-0.4</v>
      </c>
      <c r="D33" s="36"/>
    </row>
    <row r="34" spans="2:6" ht="15">
      <c r="B34" s="45" t="s">
        <v>30</v>
      </c>
      <c r="C34" s="160">
        <f>PRODUCT(C31*C33)</f>
        <v>-12500.518699705986</v>
      </c>
      <c r="D34" s="134" t="str">
        <f>IF(E34&lt;-75000,"REVIEW","  ")</f>
        <v>  </v>
      </c>
      <c r="E34" s="133">
        <f>C34</f>
        <v>-12500.518699705986</v>
      </c>
      <c r="F34" s="132"/>
    </row>
    <row r="35" spans="2:4" ht="15.75" thickBot="1">
      <c r="B35" s="45" t="s">
        <v>14</v>
      </c>
      <c r="C35" s="120">
        <f>-0.3*C29</f>
        <v>-9675.389024779492</v>
      </c>
      <c r="D35" s="36"/>
    </row>
    <row r="36" spans="2:23" ht="15.75" thickTop="1">
      <c r="B36" s="46" t="s">
        <v>46</v>
      </c>
      <c r="C36" s="21">
        <f>-C21*0.12*365*4.8</f>
        <v>-847.5640785706831</v>
      </c>
      <c r="D36" s="36"/>
      <c r="L36" s="22"/>
      <c r="M36" s="18"/>
      <c r="N36" s="22"/>
      <c r="O36" s="18"/>
      <c r="P36" s="22"/>
      <c r="Q36" s="18"/>
      <c r="R36" s="22"/>
      <c r="S36" s="22"/>
      <c r="T36" s="18"/>
      <c r="U36" s="22"/>
      <c r="V36" s="22"/>
      <c r="W36" s="18"/>
    </row>
    <row r="37" spans="2:7" ht="15.75">
      <c r="B37" s="45" t="s">
        <v>15</v>
      </c>
      <c r="C37" s="119">
        <f>C31+C35+C34</f>
        <v>9075.389024779488</v>
      </c>
      <c r="D37" s="36"/>
      <c r="E37" s="105"/>
      <c r="F37" s="105"/>
      <c r="G37" s="106"/>
    </row>
    <row r="38" spans="2:7" ht="15">
      <c r="B38" s="24"/>
      <c r="C38" s="23"/>
      <c r="D38" s="36"/>
      <c r="E38" s="105"/>
      <c r="F38" s="105"/>
      <c r="G38" s="105"/>
    </row>
    <row r="39" spans="2:7" ht="21">
      <c r="B39" s="25" t="s">
        <v>16</v>
      </c>
      <c r="C39" s="26"/>
      <c r="D39" s="36"/>
      <c r="E39" s="105"/>
      <c r="F39" s="105"/>
      <c r="G39" s="107"/>
    </row>
    <row r="40" spans="2:7" ht="15.75">
      <c r="B40" s="27" t="s">
        <v>17</v>
      </c>
      <c r="C40" s="28">
        <f>C69</f>
        <v>70.63033988089026</v>
      </c>
      <c r="D40" s="143"/>
      <c r="E40" s="144"/>
      <c r="F40" s="144"/>
      <c r="G40" s="145"/>
    </row>
    <row r="41" spans="2:7" ht="16.5" thickBot="1">
      <c r="B41" s="27" t="s">
        <v>18</v>
      </c>
      <c r="C41" s="121">
        <f>AVERAGE(C71:V71)</f>
        <v>60.8575568539326</v>
      </c>
      <c r="D41" s="146" t="s">
        <v>77</v>
      </c>
      <c r="E41" s="147"/>
      <c r="F41" s="148" t="s">
        <v>76</v>
      </c>
      <c r="G41" s="147"/>
    </row>
    <row r="42" spans="2:7" ht="16.5" thickTop="1">
      <c r="B42" s="27" t="s">
        <v>19</v>
      </c>
      <c r="C42" s="122">
        <f>SUM(C40:C41)</f>
        <v>131.48789673482287</v>
      </c>
      <c r="D42" s="149">
        <v>12</v>
      </c>
      <c r="E42" s="150">
        <f>PRODUCT(C42:D42)</f>
        <v>1577.8547608178744</v>
      </c>
      <c r="F42" s="151">
        <v>25</v>
      </c>
      <c r="G42" s="152">
        <f>PRODUCT(E42:F42)</f>
        <v>39446.36902044686</v>
      </c>
    </row>
    <row r="43" spans="2:7" ht="15.75" thickBot="1">
      <c r="B43" s="29"/>
      <c r="C43" s="6"/>
      <c r="D43" s="143"/>
      <c r="E43" s="147"/>
      <c r="F43" s="147"/>
      <c r="G43" s="153">
        <f>D46*C48</f>
        <v>-11449.304783904556</v>
      </c>
    </row>
    <row r="44" spans="2:7" ht="21.75" thickTop="1">
      <c r="B44" s="104" t="s">
        <v>47</v>
      </c>
      <c r="C44" s="104"/>
      <c r="D44" s="147"/>
      <c r="E44" s="154" t="s">
        <v>80</v>
      </c>
      <c r="F44" s="154"/>
      <c r="G44" s="152">
        <f>SUM(G42:G43)</f>
        <v>27997.064236542305</v>
      </c>
    </row>
    <row r="45" spans="2:7" ht="15">
      <c r="B45" t="s">
        <v>48</v>
      </c>
      <c r="C45" s="165">
        <v>0.06</v>
      </c>
      <c r="D45" s="161"/>
      <c r="E45" s="162"/>
      <c r="F45" s="161"/>
      <c r="G45" s="161"/>
    </row>
    <row r="46" spans="2:7" ht="15">
      <c r="B46" t="s">
        <v>49</v>
      </c>
      <c r="C46" s="166">
        <v>8</v>
      </c>
      <c r="D46" s="163">
        <f>PRODUCT(C46*12)</f>
        <v>96</v>
      </c>
      <c r="E46" s="164" t="s">
        <v>77</v>
      </c>
      <c r="F46" s="161"/>
      <c r="G46" s="161"/>
    </row>
    <row r="47" spans="2:4" ht="15">
      <c r="B47" t="s">
        <v>50</v>
      </c>
      <c r="C47" s="65">
        <f>SUM(C37)</f>
        <v>9075.389024779488</v>
      </c>
      <c r="D47"/>
    </row>
    <row r="48" spans="2:6" ht="15">
      <c r="B48" t="s">
        <v>51</v>
      </c>
      <c r="C48" s="110">
        <f>PMT(C45/12,C46*12,C47)</f>
        <v>-119.26359149900578</v>
      </c>
      <c r="D48" s="135" t="s">
        <v>81</v>
      </c>
      <c r="E48" s="136"/>
      <c r="F48" s="137">
        <f>PRODUCT(G43/C42/12)</f>
        <v>-7.256247576278729</v>
      </c>
    </row>
    <row r="49" spans="2:4" ht="15">
      <c r="B49" s="109"/>
      <c r="C49" s="109"/>
      <c r="D49" s="36"/>
    </row>
    <row r="50" spans="2:4" ht="23.25">
      <c r="B50" s="30" t="s">
        <v>20</v>
      </c>
      <c r="C50" s="31">
        <f>20*C72</f>
        <v>30434.4276388294</v>
      </c>
      <c r="D50" s="123" t="s">
        <v>74</v>
      </c>
    </row>
    <row r="51" spans="2:4" ht="15">
      <c r="B51" s="29"/>
      <c r="C51" s="32"/>
      <c r="D51" s="36" t="s">
        <v>44</v>
      </c>
    </row>
    <row r="53" spans="7:11" ht="15">
      <c r="G53" s="33"/>
      <c r="H53" s="33"/>
      <c r="I53" s="33"/>
      <c r="J53" s="33"/>
      <c r="K53" s="33"/>
    </row>
    <row r="54" spans="7:11" ht="15">
      <c r="G54" s="33"/>
      <c r="H54" s="33"/>
      <c r="I54" s="33"/>
      <c r="J54" s="33"/>
      <c r="K54" s="33"/>
    </row>
    <row r="55" spans="7:11" ht="15">
      <c r="G55" s="33"/>
      <c r="H55" s="33"/>
      <c r="I55" s="33"/>
      <c r="J55" s="33"/>
      <c r="K55" s="33"/>
    </row>
    <row r="56" spans="7:11" ht="15">
      <c r="G56" s="33"/>
      <c r="H56" s="33"/>
      <c r="I56" s="33"/>
      <c r="J56" s="33"/>
      <c r="K56" s="33"/>
    </row>
    <row r="59" spans="5:22" ht="15">
      <c r="E59" s="33"/>
      <c r="F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5:22" ht="15">
      <c r="E60" s="33"/>
      <c r="F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5:22" ht="15">
      <c r="E61" s="33"/>
      <c r="F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5:22" ht="15">
      <c r="E62" s="33"/>
      <c r="F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2:22" ht="15">
      <c r="B63" s="51" t="s">
        <v>38</v>
      </c>
      <c r="C63" s="53">
        <v>30.5</v>
      </c>
      <c r="E63" s="33"/>
      <c r="F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2:22" ht="15">
      <c r="B64" s="52" t="s">
        <v>39</v>
      </c>
      <c r="C64" s="53">
        <f>C17*1000</f>
        <v>591428.3112001145</v>
      </c>
      <c r="E64" s="33"/>
      <c r="F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2" ht="15">
      <c r="B65" s="51" t="s">
        <v>40</v>
      </c>
      <c r="C65" s="53">
        <f>C64/C63/C23</f>
        <v>4031.4120936581207</v>
      </c>
      <c r="E65" s="33"/>
      <c r="F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5:22" ht="15">
      <c r="E66" s="33"/>
      <c r="F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5:22" ht="15">
      <c r="E67" s="33"/>
      <c r="F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7" ht="15">
      <c r="A68" s="3"/>
      <c r="B68" s="61" t="s">
        <v>45</v>
      </c>
      <c r="C68" s="37">
        <f>$C$69+C71</f>
        <v>126.81011516178916</v>
      </c>
      <c r="D68" s="37">
        <f>$C$69+D71</f>
        <v>129.0573061730251</v>
      </c>
      <c r="E68" s="37">
        <f>$C$69+E71</f>
        <v>131.3943848247105</v>
      </c>
      <c r="F68" s="37">
        <f>$C$69+F71</f>
        <v>133.8249466224633</v>
      </c>
      <c r="G68" s="37">
        <f>$C$69+G71</f>
        <v>136.35273089212623</v>
      </c>
      <c r="W68" s="3"/>
      <c r="X68" s="3"/>
      <c r="Y68" s="3"/>
      <c r="Z68" s="3"/>
      <c r="AA68" s="3"/>
    </row>
    <row r="69" spans="1:27" ht="15">
      <c r="A69" s="3"/>
      <c r="B69" s="3" t="s">
        <v>21</v>
      </c>
      <c r="C69" s="37">
        <f>-C36/12</f>
        <v>70.63033988089026</v>
      </c>
      <c r="D69" s="37">
        <f>SUM(C69)</f>
        <v>70.63033988089026</v>
      </c>
      <c r="E69" s="37">
        <f>SUM(D69)</f>
        <v>70.63033988089026</v>
      </c>
      <c r="F69" s="37">
        <f>SUM(E69)</f>
        <v>70.63033988089026</v>
      </c>
      <c r="G69" s="37">
        <f>SUM(F69)</f>
        <v>70.63033988089026</v>
      </c>
      <c r="W69" s="3"/>
      <c r="X69" s="3"/>
      <c r="Y69" s="3"/>
      <c r="Z69" s="3"/>
      <c r="AA69" s="3"/>
    </row>
    <row r="70" spans="1:27" ht="15">
      <c r="A70" s="3"/>
      <c r="B70" s="3" t="s">
        <v>22</v>
      </c>
      <c r="C70" s="37">
        <f>C15*100</f>
        <v>9.499</v>
      </c>
      <c r="D70" s="37">
        <f>(C70*0.04)+C70</f>
        <v>9.878960000000001</v>
      </c>
      <c r="E70" s="37">
        <f>(D70*0.04)+D70</f>
        <v>10.2741184</v>
      </c>
      <c r="F70" s="37">
        <f>(E70*0.04)+E70</f>
        <v>10.685083136000001</v>
      </c>
      <c r="G70" s="37">
        <f>(F70*0.04)+F70</f>
        <v>11.112486461440001</v>
      </c>
      <c r="W70" s="3"/>
      <c r="X70" s="3"/>
      <c r="Y70" s="3"/>
      <c r="Z70" s="3"/>
      <c r="AA70" s="3"/>
    </row>
    <row r="71" spans="1:27" ht="15">
      <c r="A71" s="3"/>
      <c r="B71" s="3" t="s">
        <v>23</v>
      </c>
      <c r="C71" s="37">
        <f>(($C$17*C70)/100)</f>
        <v>56.17977528089889</v>
      </c>
      <c r="D71" s="37">
        <f>(($C$17*D70)/100)</f>
        <v>58.426966292134836</v>
      </c>
      <c r="E71" s="37">
        <f>(($C$17*E70)/100)</f>
        <v>60.76404494382024</v>
      </c>
      <c r="F71" s="37">
        <f>(($C$17*F70)/100)</f>
        <v>63.19460674157304</v>
      </c>
      <c r="G71" s="37">
        <f>(($C$17*G70)/100)</f>
        <v>65.72239101123597</v>
      </c>
      <c r="W71" s="3"/>
      <c r="X71" s="3"/>
      <c r="Y71" s="3"/>
      <c r="Z71" s="3"/>
      <c r="AA71" s="3"/>
    </row>
    <row r="72" spans="1:27" ht="15">
      <c r="A72" s="9"/>
      <c r="B72" s="9" t="s">
        <v>24</v>
      </c>
      <c r="C72" s="36">
        <f>C68*12</f>
        <v>1521.7213819414699</v>
      </c>
      <c r="D72" s="36">
        <f>D68*12</f>
        <v>1548.6876740763012</v>
      </c>
      <c r="E72" s="36">
        <f>E68*12</f>
        <v>1576.7326178965259</v>
      </c>
      <c r="F72" s="36">
        <f>F68*12</f>
        <v>1605.8993594695596</v>
      </c>
      <c r="G72" s="36">
        <f>G68*12</f>
        <v>1636.2327707055147</v>
      </c>
      <c r="W72" s="9"/>
      <c r="X72" s="9"/>
      <c r="Y72" s="9"/>
      <c r="Z72" s="9"/>
      <c r="AA72" s="9"/>
    </row>
    <row r="73" spans="1:27" ht="15">
      <c r="A73" s="9"/>
      <c r="B73" s="9" t="s">
        <v>25</v>
      </c>
      <c r="C73" s="36">
        <f>C72</f>
        <v>1521.7213819414699</v>
      </c>
      <c r="D73" s="36">
        <f>D72+C73</f>
        <v>3070.409056017771</v>
      </c>
      <c r="E73" s="36">
        <f>E72+D73</f>
        <v>4647.141673914297</v>
      </c>
      <c r="F73" s="36">
        <f>F72+E73</f>
        <v>6253.041033383856</v>
      </c>
      <c r="G73" s="36">
        <f>G72+F73</f>
        <v>7889.273804089371</v>
      </c>
      <c r="W73" s="9"/>
      <c r="X73" s="9"/>
      <c r="Y73" s="9"/>
      <c r="Z73" s="9"/>
      <c r="AA73" s="9"/>
    </row>
    <row r="74" spans="2:7" ht="15">
      <c r="B74" t="s">
        <v>26</v>
      </c>
      <c r="C74" s="49">
        <v>2009</v>
      </c>
      <c r="D74" s="49">
        <v>2010</v>
      </c>
      <c r="E74" s="49">
        <v>2011</v>
      </c>
      <c r="F74" s="49">
        <v>2012</v>
      </c>
      <c r="G74" s="49">
        <v>2013</v>
      </c>
    </row>
    <row r="75" spans="3:7" ht="15">
      <c r="C75" s="38">
        <v>1</v>
      </c>
      <c r="D75" s="38">
        <v>2</v>
      </c>
      <c r="E75" s="38">
        <v>3</v>
      </c>
      <c r="F75" s="39">
        <v>4</v>
      </c>
      <c r="G75" s="40">
        <v>5</v>
      </c>
    </row>
    <row r="76" spans="2:7" ht="15">
      <c r="B76" t="s">
        <v>27</v>
      </c>
      <c r="C76" s="128">
        <f>C73-$C$37</f>
        <v>-7553.667642838018</v>
      </c>
      <c r="D76" s="128">
        <f>D73-$C$37</f>
        <v>-6004.979968761717</v>
      </c>
      <c r="E76" s="128">
        <f>E73-$C$37</f>
        <v>-4428.247350865191</v>
      </c>
      <c r="F76" s="128">
        <f>F73-$C$37</f>
        <v>-2822.3479913956317</v>
      </c>
      <c r="G76" s="129">
        <f>G73-$C$37</f>
        <v>-1186.115220690117</v>
      </c>
    </row>
    <row r="77" spans="1:27" s="105" customFormat="1" ht="15">
      <c r="A77" s="111"/>
      <c r="B77" s="112" t="s">
        <v>28</v>
      </c>
      <c r="C77" s="127">
        <f>--G43</f>
        <v>-11449.304783904556</v>
      </c>
      <c r="D77" s="127">
        <f>C77-(12*C48)</f>
        <v>-10018.141685916486</v>
      </c>
      <c r="E77" s="127">
        <f>D77-(12*C48)</f>
        <v>-8586.978587928415</v>
      </c>
      <c r="F77" s="127">
        <f>E77-(12*C48)</f>
        <v>-7155.815489940346</v>
      </c>
      <c r="G77" s="127">
        <f>F77-(12*C48)</f>
        <v>-5724.652391952277</v>
      </c>
      <c r="W77" s="111"/>
      <c r="X77" s="111"/>
      <c r="Y77" s="111"/>
      <c r="Z77" s="111"/>
      <c r="AA77" s="111"/>
    </row>
    <row r="78" spans="1:27" s="105" customFormat="1" ht="15">
      <c r="A78" s="111"/>
      <c r="B78" s="112"/>
      <c r="C78" s="113" t="s">
        <v>31</v>
      </c>
      <c r="D78" s="113" t="str">
        <f>$C$78</f>
        <v> </v>
      </c>
      <c r="E78" s="113" t="str">
        <f>$C$78</f>
        <v> </v>
      </c>
      <c r="F78" s="113" t="str">
        <f>$C$78</f>
        <v> </v>
      </c>
      <c r="L78" s="113" t="str">
        <f aca="true" t="shared" si="0" ref="L78:V78">$C$78</f>
        <v> </v>
      </c>
      <c r="M78" s="113" t="str">
        <f t="shared" si="0"/>
        <v> </v>
      </c>
      <c r="N78" s="113" t="str">
        <f t="shared" si="0"/>
        <v> </v>
      </c>
      <c r="O78" s="113" t="str">
        <f t="shared" si="0"/>
        <v> </v>
      </c>
      <c r="P78" s="113" t="str">
        <f t="shared" si="0"/>
        <v> </v>
      </c>
      <c r="Q78" s="113" t="str">
        <f t="shared" si="0"/>
        <v> </v>
      </c>
      <c r="R78" s="113" t="str">
        <f t="shared" si="0"/>
        <v> </v>
      </c>
      <c r="S78" s="113" t="str">
        <f t="shared" si="0"/>
        <v> </v>
      </c>
      <c r="T78" s="113" t="str">
        <f t="shared" si="0"/>
        <v> </v>
      </c>
      <c r="U78" s="113" t="str">
        <f t="shared" si="0"/>
        <v> </v>
      </c>
      <c r="V78" s="113" t="str">
        <f t="shared" si="0"/>
        <v> </v>
      </c>
      <c r="W78" s="111"/>
      <c r="X78" s="111"/>
      <c r="Y78" s="111"/>
      <c r="Z78" s="111"/>
      <c r="AA78" s="111"/>
    </row>
    <row r="79" spans="1:27" s="105" customFormat="1" ht="15">
      <c r="A79" s="111"/>
      <c r="B79" s="114" t="s">
        <v>45</v>
      </c>
      <c r="C79" s="115">
        <f>$C$69+C82</f>
        <v>138.98162653257566</v>
      </c>
      <c r="D79" s="115">
        <f>$C$69+D82</f>
        <v>141.7156779986431</v>
      </c>
      <c r="E79" s="115">
        <f>$C$69+E82</f>
        <v>144.5590915233532</v>
      </c>
      <c r="F79" s="115">
        <f>$C$69+F82</f>
        <v>147.51624158905173</v>
      </c>
      <c r="G79" s="115">
        <f>$C$69+G82</f>
        <v>150.59167765737817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1"/>
      <c r="X79" s="111"/>
      <c r="Y79" s="111"/>
      <c r="Z79" s="111"/>
      <c r="AA79" s="111"/>
    </row>
    <row r="80" spans="1:27" s="105" customFormat="1" ht="15">
      <c r="A80" s="111"/>
      <c r="B80" s="111" t="s">
        <v>21</v>
      </c>
      <c r="C80" s="115">
        <f>SUM(G69)</f>
        <v>70.63033988089026</v>
      </c>
      <c r="D80" s="115">
        <f>SUM(C80)</f>
        <v>70.63033988089026</v>
      </c>
      <c r="E80" s="115">
        <f>SUM(D80)</f>
        <v>70.63033988089026</v>
      </c>
      <c r="F80" s="115">
        <f>SUM(E80)</f>
        <v>70.63033988089026</v>
      </c>
      <c r="G80" s="115">
        <f>SUM(F80)</f>
        <v>70.63033988089026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1"/>
      <c r="X80" s="111"/>
      <c r="Y80" s="111"/>
      <c r="Z80" s="111"/>
      <c r="AA80" s="111"/>
    </row>
    <row r="81" spans="1:27" s="105" customFormat="1" ht="15">
      <c r="A81" s="111"/>
      <c r="B81" s="111" t="s">
        <v>22</v>
      </c>
      <c r="C81" s="115">
        <f>(G70*0.04)+G70</f>
        <v>11.5569859198976</v>
      </c>
      <c r="D81" s="115">
        <f>(C81*0.04)+C81</f>
        <v>12.019265356693506</v>
      </c>
      <c r="E81" s="115">
        <f>(D81*0.04)+D81</f>
        <v>12.500035970961246</v>
      </c>
      <c r="F81" s="115">
        <f>(E81*0.04)+E81</f>
        <v>13.000037409799695</v>
      </c>
      <c r="G81" s="115">
        <f>(F81*0.04)+F81</f>
        <v>13.520038906191683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1"/>
      <c r="X81" s="111"/>
      <c r="Y81" s="111"/>
      <c r="Z81" s="111"/>
      <c r="AA81" s="111"/>
    </row>
    <row r="82" spans="1:27" s="105" customFormat="1" ht="15">
      <c r="A82" s="111"/>
      <c r="B82" s="111" t="s">
        <v>23</v>
      </c>
      <c r="C82" s="115">
        <f>(($C$17*C81)/100)</f>
        <v>68.3512866516854</v>
      </c>
      <c r="D82" s="115">
        <f>(($C$17*D81)/100)</f>
        <v>71.08533811775283</v>
      </c>
      <c r="E82" s="115">
        <f>(($C$17*E81)/100)</f>
        <v>73.92875164246294</v>
      </c>
      <c r="F82" s="115">
        <f>(($C$17*F81)/100)</f>
        <v>76.88590170816146</v>
      </c>
      <c r="G82" s="115">
        <f>(($C$17*G81)/100)</f>
        <v>79.96133777648791</v>
      </c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1"/>
      <c r="X82" s="111"/>
      <c r="Y82" s="111"/>
      <c r="Z82" s="111"/>
      <c r="AA82" s="111"/>
    </row>
    <row r="83" spans="2:7" s="105" customFormat="1" ht="15">
      <c r="B83" s="112" t="s">
        <v>24</v>
      </c>
      <c r="C83" s="113">
        <f>C79*12</f>
        <v>1667.779518390908</v>
      </c>
      <c r="D83" s="113">
        <f>D79*12</f>
        <v>1700.5881359837172</v>
      </c>
      <c r="E83" s="113">
        <f>E79*12</f>
        <v>1734.7090982802383</v>
      </c>
      <c r="F83" s="113">
        <f>F79*12</f>
        <v>1770.1948990686208</v>
      </c>
      <c r="G83" s="113">
        <f>G79*12</f>
        <v>1807.100131888538</v>
      </c>
    </row>
    <row r="84" spans="2:7" s="105" customFormat="1" ht="15">
      <c r="B84" s="112" t="s">
        <v>25</v>
      </c>
      <c r="C84" s="113">
        <f>C83+G73</f>
        <v>9557.053322480278</v>
      </c>
      <c r="D84" s="113">
        <f>D83+C84</f>
        <v>11257.641458463995</v>
      </c>
      <c r="E84" s="113">
        <f>E83+D84</f>
        <v>12992.350556744233</v>
      </c>
      <c r="F84" s="113">
        <f>F83+E84</f>
        <v>14762.545455812855</v>
      </c>
      <c r="G84" s="113">
        <f>G83+F84</f>
        <v>16569.645587701394</v>
      </c>
    </row>
    <row r="85" spans="2:7" s="105" customFormat="1" ht="15">
      <c r="B85" s="105" t="s">
        <v>26</v>
      </c>
      <c r="C85" s="116">
        <v>2014</v>
      </c>
      <c r="D85" s="116">
        <v>2015</v>
      </c>
      <c r="E85" s="116">
        <v>2016</v>
      </c>
      <c r="F85" s="116">
        <v>2017</v>
      </c>
      <c r="G85" s="116">
        <v>2018</v>
      </c>
    </row>
    <row r="86" spans="3:7" s="105" customFormat="1" ht="15">
      <c r="C86" s="40">
        <v>6</v>
      </c>
      <c r="D86" s="40">
        <v>7</v>
      </c>
      <c r="E86" s="40">
        <v>8</v>
      </c>
      <c r="F86" s="40">
        <v>9</v>
      </c>
      <c r="G86" s="40">
        <v>10</v>
      </c>
    </row>
    <row r="87" spans="2:7" s="105" customFormat="1" ht="15">
      <c r="B87" s="105" t="s">
        <v>27</v>
      </c>
      <c r="C87" s="130">
        <f>C84-$C$37</f>
        <v>481.6642977007905</v>
      </c>
      <c r="D87" s="130">
        <f>D84-$C$37</f>
        <v>2182.252433684507</v>
      </c>
      <c r="E87" s="130">
        <f>E84-$C$37</f>
        <v>3916.9615319647455</v>
      </c>
      <c r="F87" s="108">
        <f>F84-$C$37</f>
        <v>5687.156431033367</v>
      </c>
      <c r="G87" s="108">
        <f>G84-$C$37</f>
        <v>7494.256562921906</v>
      </c>
    </row>
    <row r="88" spans="2:7" s="105" customFormat="1" ht="15">
      <c r="B88" s="112" t="s">
        <v>28</v>
      </c>
      <c r="C88" s="127">
        <f>G77-(12*C48)</f>
        <v>-4293.489293964208</v>
      </c>
      <c r="D88" s="127">
        <f>C88-(12*C48)</f>
        <v>-2862.3261959761385</v>
      </c>
      <c r="E88" s="127">
        <f>D88-(12*C48)</f>
        <v>-1431.163097988069</v>
      </c>
      <c r="F88" s="127">
        <f>E88-(12*C48)</f>
        <v>0</v>
      </c>
      <c r="G88" s="127">
        <f>F88-(12*C48)</f>
        <v>1431.1630979880695</v>
      </c>
    </row>
    <row r="89" s="105" customFormat="1" ht="15">
      <c r="D89" s="117"/>
    </row>
    <row r="90" spans="2:7" s="105" customFormat="1" ht="15">
      <c r="B90" s="114" t="s">
        <v>45</v>
      </c>
      <c r="C90" s="115">
        <f>$C$69+C93</f>
        <v>153.79013116843768</v>
      </c>
      <c r="D90" s="115">
        <f>$C$69+D93</f>
        <v>157.11652281993958</v>
      </c>
      <c r="E90" s="115">
        <f>$C$69+E93</f>
        <v>160.57597013750154</v>
      </c>
      <c r="F90" s="115">
        <f>$C$69+F93</f>
        <v>164.173795347766</v>
      </c>
      <c r="G90" s="115">
        <f>$C$69+G93</f>
        <v>167.915533566441</v>
      </c>
    </row>
    <row r="91" spans="2:7" s="105" customFormat="1" ht="15">
      <c r="B91" s="111" t="s">
        <v>21</v>
      </c>
      <c r="C91" s="115">
        <f>SUM(G80)</f>
        <v>70.63033988089026</v>
      </c>
      <c r="D91" s="115">
        <f>SUM(C91)</f>
        <v>70.63033988089026</v>
      </c>
      <c r="E91" s="115">
        <f>SUM(D91)</f>
        <v>70.63033988089026</v>
      </c>
      <c r="F91" s="115">
        <f>SUM(E91)</f>
        <v>70.63033988089026</v>
      </c>
      <c r="G91" s="115">
        <f>SUM(F91)</f>
        <v>70.63033988089026</v>
      </c>
    </row>
    <row r="92" spans="2:7" s="105" customFormat="1" ht="15">
      <c r="B92" s="111" t="s">
        <v>22</v>
      </c>
      <c r="C92" s="115">
        <f>(G81*0.04)+G81</f>
        <v>14.06084046243935</v>
      </c>
      <c r="D92" s="115">
        <f>(C92*0.04)+C92</f>
        <v>14.623274080936923</v>
      </c>
      <c r="E92" s="115">
        <f>(D92*0.04)+D92</f>
        <v>15.2082050441744</v>
      </c>
      <c r="F92" s="115">
        <f>(E92*0.04)+E92</f>
        <v>15.816533245941377</v>
      </c>
      <c r="G92" s="115">
        <f>(F92*0.04)+F92</f>
        <v>16.449194575779032</v>
      </c>
    </row>
    <row r="93" spans="2:7" s="105" customFormat="1" ht="15">
      <c r="B93" s="111" t="s">
        <v>23</v>
      </c>
      <c r="C93" s="115">
        <f>(($C$17*C92)/100)</f>
        <v>83.15979128754742</v>
      </c>
      <c r="D93" s="115">
        <f>(($C$17*D92)/100)</f>
        <v>86.48618293904933</v>
      </c>
      <c r="E93" s="115">
        <f>(($C$17*E92)/100)</f>
        <v>89.9456302566113</v>
      </c>
      <c r="F93" s="115">
        <f>(($C$17*F92)/100)</f>
        <v>93.54345546687574</v>
      </c>
      <c r="G93" s="115">
        <f>(($C$17*G92)/100)</f>
        <v>97.28519368555077</v>
      </c>
    </row>
    <row r="94" spans="2:7" s="105" customFormat="1" ht="15">
      <c r="B94" s="112" t="s">
        <v>24</v>
      </c>
      <c r="C94" s="113">
        <f>C90*12</f>
        <v>1845.481574021252</v>
      </c>
      <c r="D94" s="113">
        <f>D90*12</f>
        <v>1885.398273839275</v>
      </c>
      <c r="E94" s="113">
        <f>E90*12</f>
        <v>1926.9116416500185</v>
      </c>
      <c r="F94" s="113">
        <f>F90*12</f>
        <v>1970.085544173192</v>
      </c>
      <c r="G94" s="113">
        <f>G90*12</f>
        <v>2014.9864027972922</v>
      </c>
    </row>
    <row r="95" spans="2:7" s="105" customFormat="1" ht="15">
      <c r="B95" s="112" t="s">
        <v>25</v>
      </c>
      <c r="C95" s="113">
        <f>C94+G84</f>
        <v>18415.127161722645</v>
      </c>
      <c r="D95" s="113">
        <f>D94+C95</f>
        <v>20300.525435561918</v>
      </c>
      <c r="E95" s="113">
        <f>E94+D95</f>
        <v>22227.437077211936</v>
      </c>
      <c r="F95" s="113">
        <f>F94+E95</f>
        <v>24197.522621385127</v>
      </c>
      <c r="G95" s="113">
        <f>G94+F95</f>
        <v>26212.50902418242</v>
      </c>
    </row>
    <row r="96" spans="2:7" s="105" customFormat="1" ht="15">
      <c r="B96" s="105" t="s">
        <v>26</v>
      </c>
      <c r="C96" s="116">
        <v>2019</v>
      </c>
      <c r="D96" s="116">
        <v>2020</v>
      </c>
      <c r="E96" s="116">
        <v>2021</v>
      </c>
      <c r="F96" s="116">
        <v>2022</v>
      </c>
      <c r="G96" s="116">
        <v>2023</v>
      </c>
    </row>
    <row r="97" spans="3:7" s="105" customFormat="1" ht="15">
      <c r="C97" s="40">
        <v>11</v>
      </c>
      <c r="D97" s="40">
        <v>12</v>
      </c>
      <c r="E97" s="40">
        <v>13</v>
      </c>
      <c r="F97" s="40">
        <v>14</v>
      </c>
      <c r="G97" s="40">
        <v>15</v>
      </c>
    </row>
    <row r="98" spans="2:7" s="105" customFormat="1" ht="15">
      <c r="B98" s="105" t="s">
        <v>27</v>
      </c>
      <c r="C98" s="117">
        <f>C95-$C$37</f>
        <v>9339.738136943157</v>
      </c>
      <c r="D98" s="117">
        <f>D95-$C$37</f>
        <v>11225.13641078243</v>
      </c>
      <c r="E98" s="117">
        <f>E95-$C$37</f>
        <v>13152.048052432448</v>
      </c>
      <c r="F98" s="117">
        <f>F95-$C$37</f>
        <v>15122.13359660564</v>
      </c>
      <c r="G98" s="117">
        <f>G95-$C$37</f>
        <v>17137.11999940293</v>
      </c>
    </row>
    <row r="99" spans="1:7" s="126" customFormat="1" ht="15">
      <c r="A99" s="126" t="s">
        <v>75</v>
      </c>
      <c r="B99" s="112" t="s">
        <v>28</v>
      </c>
      <c r="C99" s="131">
        <f>G88-(12*C48)</f>
        <v>2862.326195976139</v>
      </c>
      <c r="D99" s="131">
        <f>C99-(12*C48)</f>
        <v>4293.489293964209</v>
      </c>
      <c r="E99" s="131">
        <f>D99-(12*C48)</f>
        <v>5724.652391952278</v>
      </c>
      <c r="F99" s="131">
        <f>E99-(12*C48)</f>
        <v>7155.815489940347</v>
      </c>
      <c r="G99" s="131">
        <f>F99-(12*C48)</f>
        <v>8586.978587928417</v>
      </c>
    </row>
    <row r="100" spans="2:6" s="105" customFormat="1" ht="15">
      <c r="B100" s="112"/>
      <c r="C100" s="113"/>
      <c r="D100" s="113"/>
      <c r="E100" s="113"/>
      <c r="F100" s="113"/>
    </row>
    <row r="101" s="105" customFormat="1" ht="15">
      <c r="D101" s="117"/>
    </row>
    <row r="102" spans="2:7" s="105" customFormat="1" ht="15">
      <c r="B102" s="114" t="s">
        <v>45</v>
      </c>
      <c r="C102" s="115">
        <f>$C$69+C105</f>
        <v>171.80694131386306</v>
      </c>
      <c r="D102" s="115">
        <f>$C$69+D105</f>
        <v>175.85400537118198</v>
      </c>
      <c r="E102" s="115">
        <f>$C$69+E105</f>
        <v>180.06295199079364</v>
      </c>
      <c r="F102" s="115">
        <f>$C$69+F105</f>
        <v>184.44025647518976</v>
      </c>
      <c r="G102" s="115">
        <f>$C$69+G105</f>
        <v>188.99265313896177</v>
      </c>
    </row>
    <row r="103" spans="2:7" s="105" customFormat="1" ht="15">
      <c r="B103" s="111" t="s">
        <v>21</v>
      </c>
      <c r="C103" s="115">
        <f>SUM(G91)</f>
        <v>70.63033988089026</v>
      </c>
      <c r="D103" s="115">
        <f>SUM(C103)</f>
        <v>70.63033988089026</v>
      </c>
      <c r="E103" s="115">
        <f>SUM(D103)</f>
        <v>70.63033988089026</v>
      </c>
      <c r="F103" s="115">
        <f>SUM(E103)</f>
        <v>70.63033988089026</v>
      </c>
      <c r="G103" s="115">
        <f>SUM(F103)</f>
        <v>70.63033988089026</v>
      </c>
    </row>
    <row r="104" spans="2:7" s="105" customFormat="1" ht="15">
      <c r="B104" s="111" t="s">
        <v>22</v>
      </c>
      <c r="C104" s="115">
        <f>(G92*0.04)+G92</f>
        <v>17.107162358810193</v>
      </c>
      <c r="D104" s="115">
        <f>(C104*0.04)+C104</f>
        <v>17.7914488531626</v>
      </c>
      <c r="E104" s="115">
        <f>(D104*0.04)+D104</f>
        <v>18.503106807289104</v>
      </c>
      <c r="F104" s="115">
        <f>(E104*0.04)+E104</f>
        <v>19.243231079580667</v>
      </c>
      <c r="G104" s="115">
        <f>(F104*0.04)+F104</f>
        <v>20.012960322763895</v>
      </c>
    </row>
    <row r="105" spans="2:7" s="105" customFormat="1" ht="15">
      <c r="B105" s="111" t="s">
        <v>23</v>
      </c>
      <c r="C105" s="115">
        <f>(($C$17*C104)/100)</f>
        <v>101.1766014329728</v>
      </c>
      <c r="D105" s="115">
        <f>(($C$17*D104)/100)</f>
        <v>105.22366549029171</v>
      </c>
      <c r="E105" s="115">
        <f>(($C$17*E104)/100)</f>
        <v>109.43261210990339</v>
      </c>
      <c r="F105" s="115">
        <f>(($C$17*F104)/100)</f>
        <v>113.80991659429951</v>
      </c>
      <c r="G105" s="118">
        <f>(($C$17*G104)/100)</f>
        <v>118.3623132580715</v>
      </c>
    </row>
    <row r="106" spans="2:7" s="105" customFormat="1" ht="15">
      <c r="B106" s="112" t="s">
        <v>24</v>
      </c>
      <c r="C106" s="113">
        <f>C102*12</f>
        <v>2061.683295766357</v>
      </c>
      <c r="D106" s="113">
        <f>D102*12</f>
        <v>2110.248064454184</v>
      </c>
      <c r="E106" s="113">
        <f>E102*12</f>
        <v>2160.7554238895236</v>
      </c>
      <c r="F106" s="113">
        <f>F102*12</f>
        <v>2213.2830777022773</v>
      </c>
      <c r="G106" s="113">
        <f>G102*12</f>
        <v>2267.9118376675415</v>
      </c>
    </row>
    <row r="107" spans="2:7" s="105" customFormat="1" ht="15">
      <c r="B107" s="112" t="s">
        <v>25</v>
      </c>
      <c r="C107" s="113">
        <f>C106+G95</f>
        <v>28274.192319948776</v>
      </c>
      <c r="D107" s="113">
        <f>D106+C107</f>
        <v>30384.44038440296</v>
      </c>
      <c r="E107" s="113">
        <f>E106+D107</f>
        <v>32545.195808292483</v>
      </c>
      <c r="F107" s="113">
        <f>F106+E107</f>
        <v>34758.47888599476</v>
      </c>
      <c r="G107" s="113">
        <f>G106+F107</f>
        <v>37026.3907236623</v>
      </c>
    </row>
    <row r="108" spans="2:7" s="105" customFormat="1" ht="15">
      <c r="B108" s="105" t="s">
        <v>26</v>
      </c>
      <c r="C108" s="116">
        <v>2024</v>
      </c>
      <c r="D108" s="116">
        <v>2025</v>
      </c>
      <c r="E108" s="116">
        <v>2026</v>
      </c>
      <c r="F108" s="116">
        <v>2027</v>
      </c>
      <c r="G108" s="116">
        <v>2028</v>
      </c>
    </row>
    <row r="109" spans="3:7" s="105" customFormat="1" ht="15">
      <c r="C109" s="40">
        <v>16</v>
      </c>
      <c r="D109" s="40">
        <v>17</v>
      </c>
      <c r="E109" s="40">
        <v>18</v>
      </c>
      <c r="F109" s="40">
        <v>19</v>
      </c>
      <c r="G109" s="40">
        <v>20</v>
      </c>
    </row>
    <row r="110" spans="2:7" s="105" customFormat="1" ht="15">
      <c r="B110" s="105" t="s">
        <v>27</v>
      </c>
      <c r="C110" s="117">
        <f>C107-$C$37</f>
        <v>19198.803295169288</v>
      </c>
      <c r="D110" s="117">
        <f>D107-$C$37</f>
        <v>21309.05135962347</v>
      </c>
      <c r="E110" s="117">
        <f>E107-$C$37</f>
        <v>23469.806783512995</v>
      </c>
      <c r="F110" s="117">
        <f>F107-$C$37</f>
        <v>25683.08986121527</v>
      </c>
      <c r="G110" s="117">
        <f>G107-$C$37</f>
        <v>27951.00169888281</v>
      </c>
    </row>
    <row r="111" spans="1:7" s="105" customFormat="1" ht="15">
      <c r="A111" s="105" t="s">
        <v>31</v>
      </c>
      <c r="B111" s="112" t="s">
        <v>28</v>
      </c>
      <c r="C111" s="127">
        <f>G99-(12*C48)</f>
        <v>10018.141685916487</v>
      </c>
      <c r="D111" s="131">
        <f>C111-(12*C48)</f>
        <v>11449.304783904558</v>
      </c>
      <c r="E111" s="131">
        <f>D111-(12*C48)</f>
        <v>12880.467881892628</v>
      </c>
      <c r="F111" s="131">
        <f>E111-(12*C48)</f>
        <v>14311.630979880698</v>
      </c>
      <c r="G111" s="131">
        <f>F111-(12*C48)</f>
        <v>15742.794077868768</v>
      </c>
    </row>
    <row r="113" spans="2:7" s="105" customFormat="1" ht="15">
      <c r="B113" s="114" t="s">
        <v>45</v>
      </c>
      <c r="C113" s="115">
        <f>$C$69+C116</f>
        <v>505.0672792874385</v>
      </c>
      <c r="D113" s="115">
        <f>$C$69+D116</f>
        <v>522.4447568637005</v>
      </c>
      <c r="E113" s="115">
        <f>$C$69+E116</f>
        <v>540.5173335430129</v>
      </c>
      <c r="F113" s="115">
        <f>$C$69+F116</f>
        <v>559.3128132894979</v>
      </c>
      <c r="G113" s="115">
        <f>$C$69+G116</f>
        <v>578.860112225842</v>
      </c>
    </row>
    <row r="114" spans="2:7" s="105" customFormat="1" ht="15">
      <c r="B114" s="111" t="s">
        <v>21</v>
      </c>
      <c r="C114" s="115">
        <f>SUM(G102)</f>
        <v>188.99265313896177</v>
      </c>
      <c r="D114" s="115">
        <f>SUM(C114)</f>
        <v>188.99265313896177</v>
      </c>
      <c r="E114" s="115">
        <f>SUM(D114)</f>
        <v>188.99265313896177</v>
      </c>
      <c r="F114" s="115">
        <f>SUM(E114)</f>
        <v>188.99265313896177</v>
      </c>
      <c r="G114" s="115">
        <f>SUM(F114)</f>
        <v>188.99265313896177</v>
      </c>
    </row>
    <row r="115" spans="2:7" s="105" customFormat="1" ht="15">
      <c r="B115" s="111" t="s">
        <v>22</v>
      </c>
      <c r="C115" s="115">
        <f>(G103*0.04)+G103</f>
        <v>73.45555347612587</v>
      </c>
      <c r="D115" s="115">
        <f>(C115*0.04)+C115</f>
        <v>76.39377561517091</v>
      </c>
      <c r="E115" s="115">
        <f>(D115*0.04)+D115</f>
        <v>79.44952663977774</v>
      </c>
      <c r="F115" s="115">
        <f>(E115*0.04)+E115</f>
        <v>82.62750770536886</v>
      </c>
      <c r="G115" s="115">
        <f>(F115*0.04)+F115</f>
        <v>85.9326080135836</v>
      </c>
    </row>
    <row r="116" spans="2:7" s="105" customFormat="1" ht="15">
      <c r="B116" s="111" t="s">
        <v>23</v>
      </c>
      <c r="C116" s="115">
        <f>(($C$17*C115)/100)</f>
        <v>434.4369394065483</v>
      </c>
      <c r="D116" s="115">
        <f>(($C$17*D115)/100)</f>
        <v>451.8144169828102</v>
      </c>
      <c r="E116" s="115">
        <f>(($C$17*E115)/100)</f>
        <v>469.8869936621226</v>
      </c>
      <c r="F116" s="115">
        <f>(($C$17*F115)/100)</f>
        <v>488.68247340860756</v>
      </c>
      <c r="G116" s="118">
        <f>(($C$17*G115)/100)</f>
        <v>508.22977234495175</v>
      </c>
    </row>
    <row r="117" spans="2:7" s="105" customFormat="1" ht="15">
      <c r="B117" s="112" t="s">
        <v>24</v>
      </c>
      <c r="C117" s="113">
        <f>C113*12</f>
        <v>6060.807351449263</v>
      </c>
      <c r="D117" s="113">
        <f>D113*12</f>
        <v>6269.337082364405</v>
      </c>
      <c r="E117" s="113">
        <f>E113*12</f>
        <v>6486.208002516155</v>
      </c>
      <c r="F117" s="113">
        <f>F113*12</f>
        <v>6711.753759473974</v>
      </c>
      <c r="G117" s="113">
        <f>G113*12</f>
        <v>6946.321346710105</v>
      </c>
    </row>
    <row r="118" spans="2:7" s="105" customFormat="1" ht="15">
      <c r="B118" s="112" t="s">
        <v>25</v>
      </c>
      <c r="C118" s="113">
        <f>C117+G106</f>
        <v>8328.719189116804</v>
      </c>
      <c r="D118" s="113">
        <f>D117+C118</f>
        <v>14598.05627148121</v>
      </c>
      <c r="E118" s="113">
        <f>E117+D118</f>
        <v>21084.264273997363</v>
      </c>
      <c r="F118" s="113">
        <f>F117+E118</f>
        <v>27796.018033471337</v>
      </c>
      <c r="G118" s="113">
        <f>G117+F118</f>
        <v>34742.33938018144</v>
      </c>
    </row>
    <row r="119" spans="2:7" s="105" customFormat="1" ht="15">
      <c r="B119" s="105" t="s">
        <v>26</v>
      </c>
      <c r="C119" s="116">
        <f>+G108+1</f>
        <v>2029</v>
      </c>
      <c r="D119" s="116">
        <f>1+C119</f>
        <v>2030</v>
      </c>
      <c r="E119" s="116">
        <f>1+D119</f>
        <v>2031</v>
      </c>
      <c r="F119" s="116">
        <f>1+E119</f>
        <v>2032</v>
      </c>
      <c r="G119" s="116">
        <f>1+F119</f>
        <v>2033</v>
      </c>
    </row>
    <row r="120" spans="3:7" s="105" customFormat="1" ht="15">
      <c r="C120" s="40">
        <v>21</v>
      </c>
      <c r="D120" s="40">
        <v>21</v>
      </c>
      <c r="E120" s="40">
        <v>23</v>
      </c>
      <c r="F120" s="40">
        <v>24</v>
      </c>
      <c r="G120" s="40">
        <v>25</v>
      </c>
    </row>
    <row r="121" spans="2:7" s="105" customFormat="1" ht="15">
      <c r="B121" s="105" t="s">
        <v>27</v>
      </c>
      <c r="C121" s="117">
        <f>C118-$C$37</f>
        <v>-746.6698356626839</v>
      </c>
      <c r="D121" s="117">
        <f>D118-$C$37</f>
        <v>5522.6672467017215</v>
      </c>
      <c r="E121" s="117">
        <f>E118-$C$37</f>
        <v>12008.875249217876</v>
      </c>
      <c r="F121" s="117">
        <f>F118-$C$37</f>
        <v>18720.62900869185</v>
      </c>
      <c r="G121" s="117">
        <f>G118-$C$37</f>
        <v>25666.95035540195</v>
      </c>
    </row>
    <row r="122" spans="1:7" s="105" customFormat="1" ht="15">
      <c r="A122" s="105" t="s">
        <v>31</v>
      </c>
      <c r="B122" s="112" t="s">
        <v>28</v>
      </c>
      <c r="C122" s="127">
        <f>G110-(12*C59)</f>
        <v>27951.00169888281</v>
      </c>
      <c r="D122" s="131">
        <f>C122-(12*C59)</f>
        <v>27951.00169888281</v>
      </c>
      <c r="E122" s="131">
        <f>D122-(12*C59)</f>
        <v>27951.00169888281</v>
      </c>
      <c r="F122" s="131">
        <f>E122-(12*C59)</f>
        <v>27951.00169888281</v>
      </c>
      <c r="G122" s="131">
        <f>F122-(12*C59)</f>
        <v>27951.00169888281</v>
      </c>
    </row>
    <row r="123" spans="2:8" ht="15">
      <c r="B123" s="112"/>
      <c r="C123" s="127"/>
      <c r="D123" s="131"/>
      <c r="E123" s="131"/>
      <c r="F123" s="131"/>
      <c r="G123" s="131"/>
      <c r="H123" s="105"/>
    </row>
    <row r="124" spans="4:5" ht="15">
      <c r="D124"/>
      <c r="E124" s="33"/>
    </row>
  </sheetData>
  <sheetProtection password="C472" sheet="1" selectLockedCells="1"/>
  <hyperlinks>
    <hyperlink ref="B6" r:id="rId1" display="www.metroservicesinc.com"/>
  </hyperlinks>
  <printOptions/>
  <pageMargins left="0.45" right="0.45" top="0.75" bottom="0.75" header="0.511805555555556" footer="0.511805555555556"/>
  <pageSetup horizontalDpi="300" verticalDpi="3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showGridLines="0" zoomScalePageLayoutView="0" workbookViewId="0" topLeftCell="A7">
      <selection activeCell="D11" sqref="D11"/>
    </sheetView>
  </sheetViews>
  <sheetFormatPr defaultColWidth="9.140625" defaultRowHeight="15"/>
  <cols>
    <col min="1" max="1" width="4.7109375" style="68" customWidth="1"/>
    <col min="2" max="2" width="13.28125" style="68" customWidth="1"/>
    <col min="3" max="3" width="15.421875" style="68" customWidth="1"/>
    <col min="4" max="4" width="14.00390625" style="68" customWidth="1"/>
    <col min="5" max="5" width="13.00390625" style="68" customWidth="1"/>
    <col min="6" max="6" width="13.7109375" style="68" customWidth="1"/>
    <col min="7" max="7" width="13.00390625" style="68" customWidth="1"/>
    <col min="8" max="8" width="13.57421875" style="68" customWidth="1"/>
    <col min="9" max="9" width="15.421875" style="68" customWidth="1"/>
    <col min="10" max="10" width="6.140625" style="68" customWidth="1"/>
    <col min="11" max="11" width="9.140625" style="69" customWidth="1"/>
    <col min="12" max="12" width="15.28125" style="69" customWidth="1"/>
    <col min="13" max="16384" width="9.140625" style="69" customWidth="1"/>
  </cols>
  <sheetData>
    <row r="1" spans="1:9" ht="24" customHeight="1">
      <c r="A1" s="66" t="s">
        <v>47</v>
      </c>
      <c r="B1" s="67"/>
      <c r="C1" s="67"/>
      <c r="D1" s="67"/>
      <c r="E1" s="67"/>
      <c r="F1" s="67"/>
      <c r="G1" s="67"/>
      <c r="H1" s="67"/>
      <c r="I1" s="67"/>
    </row>
    <row r="2" spans="1:9" ht="12.75" customHeight="1" thickBot="1">
      <c r="A2" s="70"/>
      <c r="B2" s="70"/>
      <c r="C2" s="70"/>
      <c r="D2" s="70"/>
      <c r="E2" s="70"/>
      <c r="F2" s="70"/>
      <c r="G2" s="70"/>
      <c r="H2" s="70"/>
      <c r="I2" s="70"/>
    </row>
    <row r="3" spans="1:9" ht="3" customHeight="1" thickTop="1">
      <c r="A3" s="71"/>
      <c r="B3" s="71"/>
      <c r="C3" s="71"/>
      <c r="D3" s="71"/>
      <c r="E3" s="71"/>
      <c r="F3" s="71"/>
      <c r="G3" s="71"/>
      <c r="H3" s="71"/>
      <c r="I3" s="71"/>
    </row>
    <row r="4" spans="1:9" ht="6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10" ht="14.25" customHeight="1">
      <c r="A5" s="70"/>
      <c r="B5" s="140" t="s">
        <v>53</v>
      </c>
      <c r="C5" s="141"/>
      <c r="D5" s="142"/>
      <c r="E5" s="67"/>
      <c r="F5" s="140" t="s">
        <v>54</v>
      </c>
      <c r="G5" s="141"/>
      <c r="H5" s="142"/>
      <c r="I5" s="67"/>
      <c r="J5" s="73"/>
    </row>
    <row r="6" spans="1:10" ht="12.75">
      <c r="A6" s="74"/>
      <c r="B6" s="75"/>
      <c r="C6" s="76" t="s">
        <v>50</v>
      </c>
      <c r="D6" s="77">
        <f>'Solar Financing Information'!C47</f>
        <v>9075.389024779488</v>
      </c>
      <c r="E6" s="67"/>
      <c r="F6" s="75"/>
      <c r="G6" s="76" t="s">
        <v>55</v>
      </c>
      <c r="H6" s="78">
        <f>IF(Values_Entered,-PMT(Interest_Rate/Num_Pmt_Per_Year,Loan_Years*Num_Pmt_Per_Year,Loan_Amount),"")</f>
        <v>119.26359149900578</v>
      </c>
      <c r="I6" s="67"/>
      <c r="J6" s="73"/>
    </row>
    <row r="7" spans="1:10" ht="12.75">
      <c r="A7" s="74"/>
      <c r="B7" s="75"/>
      <c r="C7" s="76" t="s">
        <v>56</v>
      </c>
      <c r="D7" s="79">
        <f>'Solar Financing Information'!C45</f>
        <v>0.06</v>
      </c>
      <c r="E7" s="67"/>
      <c r="F7" s="75"/>
      <c r="G7" s="76" t="s">
        <v>57</v>
      </c>
      <c r="H7" s="80">
        <f>IF(Values_Entered,Loan_Years*Num_Pmt_Per_Year,"")</f>
        <v>96</v>
      </c>
      <c r="I7" s="81"/>
      <c r="J7" s="73"/>
    </row>
    <row r="8" spans="1:10" ht="12.75">
      <c r="A8" s="74"/>
      <c r="B8" s="75"/>
      <c r="C8" s="76" t="s">
        <v>58</v>
      </c>
      <c r="D8" s="82">
        <f>'Solar Financing Information'!C46</f>
        <v>8</v>
      </c>
      <c r="E8" s="67"/>
      <c r="F8" s="75"/>
      <c r="G8" s="76" t="s">
        <v>59</v>
      </c>
      <c r="H8" s="80">
        <f>IF(Values_Entered,Number_of_Payments,"")</f>
        <v>96</v>
      </c>
      <c r="I8" s="81"/>
      <c r="J8" s="73"/>
    </row>
    <row r="9" spans="1:10" ht="12.75">
      <c r="A9" s="74"/>
      <c r="B9" s="75"/>
      <c r="C9" s="76" t="s">
        <v>60</v>
      </c>
      <c r="D9" s="82">
        <v>12</v>
      </c>
      <c r="E9" s="67"/>
      <c r="F9" s="75"/>
      <c r="G9" s="76" t="s">
        <v>61</v>
      </c>
      <c r="H9" s="78">
        <f>IF(Values_Entered,SUMIF(Beg_Bal,"&gt;0",Extra_Pay),"")</f>
        <v>0</v>
      </c>
      <c r="I9" s="81"/>
      <c r="J9" s="73"/>
    </row>
    <row r="10" spans="1:10" ht="12.75">
      <c r="A10" s="74"/>
      <c r="B10" s="75"/>
      <c r="C10" s="76" t="s">
        <v>62</v>
      </c>
      <c r="D10" s="83">
        <v>40179</v>
      </c>
      <c r="E10" s="67"/>
      <c r="F10" s="84"/>
      <c r="G10" s="85" t="s">
        <v>52</v>
      </c>
      <c r="H10" s="78">
        <f>IF(Values_Entered,SUMIF(Beg_Bal,"&gt;0",Int),"")</f>
        <v>2373.9157591247176</v>
      </c>
      <c r="I10" s="81"/>
      <c r="J10" s="73"/>
    </row>
    <row r="11" spans="1:10" ht="12.75">
      <c r="A11" s="74"/>
      <c r="B11" s="84"/>
      <c r="C11" s="85" t="s">
        <v>63</v>
      </c>
      <c r="D11" s="86"/>
      <c r="E11" s="67"/>
      <c r="F11" s="70"/>
      <c r="G11" s="70"/>
      <c r="H11" s="70"/>
      <c r="I11" s="81"/>
      <c r="J11" s="73"/>
    </row>
    <row r="12" spans="1:10" ht="12.75">
      <c r="A12" s="70"/>
      <c r="B12" s="70"/>
      <c r="C12" s="70"/>
      <c r="D12" s="70"/>
      <c r="E12" s="70"/>
      <c r="F12" s="70"/>
      <c r="G12" s="70"/>
      <c r="H12" s="70"/>
      <c r="I12" s="70"/>
      <c r="J12" s="73"/>
    </row>
    <row r="13" spans="1:10" ht="12.75">
      <c r="A13" s="70"/>
      <c r="B13" s="87" t="s">
        <v>64</v>
      </c>
      <c r="C13" s="138"/>
      <c r="D13" s="139"/>
      <c r="E13" s="88"/>
      <c r="F13" s="70"/>
      <c r="G13" s="70"/>
      <c r="H13" s="70"/>
      <c r="I13" s="70"/>
      <c r="J13" s="73"/>
    </row>
    <row r="14" spans="1:10" ht="13.5" thickBot="1">
      <c r="A14" s="70"/>
      <c r="B14" s="70"/>
      <c r="C14" s="70"/>
      <c r="D14" s="70"/>
      <c r="E14" s="70"/>
      <c r="F14" s="70"/>
      <c r="G14" s="70"/>
      <c r="H14" s="70"/>
      <c r="I14" s="70"/>
      <c r="J14" s="73"/>
    </row>
    <row r="15" spans="1:10" ht="3" customHeight="1" thickTop="1">
      <c r="A15" s="71"/>
      <c r="B15" s="71"/>
      <c r="C15" s="71"/>
      <c r="D15" s="71"/>
      <c r="E15" s="71"/>
      <c r="F15" s="71"/>
      <c r="G15" s="71"/>
      <c r="H15" s="71"/>
      <c r="I15" s="71"/>
      <c r="J15" s="73"/>
    </row>
    <row r="16" spans="1:10" s="93" customFormat="1" ht="31.5" customHeight="1" thickBot="1">
      <c r="A16" s="89" t="s">
        <v>65</v>
      </c>
      <c r="B16" s="90" t="s">
        <v>66</v>
      </c>
      <c r="C16" s="90" t="s">
        <v>67</v>
      </c>
      <c r="D16" s="90" t="s">
        <v>55</v>
      </c>
      <c r="E16" s="90" t="s">
        <v>68</v>
      </c>
      <c r="F16" s="90" t="s">
        <v>69</v>
      </c>
      <c r="G16" s="90" t="s">
        <v>70</v>
      </c>
      <c r="H16" s="90" t="s">
        <v>71</v>
      </c>
      <c r="I16" s="91" t="s">
        <v>72</v>
      </c>
      <c r="J16" s="92"/>
    </row>
    <row r="17" spans="1:10" s="93" customFormat="1" ht="3" customHeight="1" thickTop="1">
      <c r="A17" s="71"/>
      <c r="B17" s="94"/>
      <c r="C17" s="94"/>
      <c r="D17" s="94"/>
      <c r="E17" s="94"/>
      <c r="F17" s="94"/>
      <c r="G17" s="94"/>
      <c r="H17" s="94"/>
      <c r="I17" s="95"/>
      <c r="J17" s="92"/>
    </row>
    <row r="18" spans="1:9" s="93" customFormat="1" ht="12.75">
      <c r="A18" s="96">
        <f>IF(Values_Entered,1,"")</f>
        <v>1</v>
      </c>
      <c r="B18" s="97">
        <f aca="true" t="shared" si="0" ref="B18:B81">IF(Pay_Num&lt;&gt;"",DATE(YEAR(Loan_Start),MONTH(Loan_Start)+(Pay_Num)*12/Num_Pmt_Per_Year,DAY(Loan_Start)),"")</f>
        <v>40210</v>
      </c>
      <c r="C18" s="98">
        <f>IF(Values_Entered,Loan_Amount,"")</f>
        <v>9075.389024779488</v>
      </c>
      <c r="D18" s="98">
        <f>IF(Pay_Num&lt;&gt;"",Scheduled_Monthly_Payment,"")</f>
        <v>119.26359149900578</v>
      </c>
      <c r="E18" s="99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98">
        <f aca="true" t="shared" si="2" ref="F18:F81">IF(AND(Pay_Num&lt;&gt;"",Sched_Pay+Extra_Pay&lt;Beg_Bal),Sched_Pay+Extra_Pay,IF(Pay_Num&lt;&gt;"",Beg_Bal,""))</f>
        <v>119.26359149900578</v>
      </c>
      <c r="G18" s="98">
        <f>IF(Pay_Num&lt;&gt;"",Total_Pay-Int,"")</f>
        <v>73.88664637510834</v>
      </c>
      <c r="H18" s="98">
        <f>IF(Pay_Num&lt;&gt;"",Beg_Bal*(Interest_Rate/Num_Pmt_Per_Year),"")</f>
        <v>45.37694512389744</v>
      </c>
      <c r="I18" s="98">
        <f aca="true" t="shared" si="3" ref="I18:I81">IF(AND(Pay_Num&lt;&gt;"",Sched_Pay+Extra_Pay&lt;Beg_Bal),Beg_Bal-Princ,IF(Pay_Num&lt;&gt;"",0,""))</f>
        <v>9001.502378404379</v>
      </c>
    </row>
    <row r="19" spans="1:9" s="93" customFormat="1" ht="12.75" customHeight="1">
      <c r="A19" s="96">
        <f aca="true" t="shared" si="4" ref="A19:A82">IF(Values_Entered,A18+1,"")</f>
        <v>2</v>
      </c>
      <c r="B19" s="97">
        <f t="shared" si="0"/>
        <v>40238</v>
      </c>
      <c r="C19" s="100">
        <f>IF(Pay_Num&lt;&gt;"",I18,"")</f>
        <v>9001.502378404379</v>
      </c>
      <c r="D19" s="100">
        <f>IF(Pay_Num&lt;&gt;"",Scheduled_Monthly_Payment,"")</f>
        <v>119.26359149900578</v>
      </c>
      <c r="E19" s="101">
        <f t="shared" si="1"/>
        <v>0</v>
      </c>
      <c r="F19" s="100">
        <f t="shared" si="2"/>
        <v>119.26359149900578</v>
      </c>
      <c r="G19" s="100">
        <f aca="true" t="shared" si="5" ref="G19:G82">IF(Pay_Num&lt;&gt;"",Total_Pay-Int,"")</f>
        <v>74.25607960698389</v>
      </c>
      <c r="H19" s="100">
        <f aca="true" t="shared" si="6" ref="H19:H82">IF(Pay_Num&lt;&gt;"",Beg_Bal*Interest_Rate/Num_Pmt_Per_Year,"")</f>
        <v>45.00751189202189</v>
      </c>
      <c r="I19" s="100">
        <f t="shared" si="3"/>
        <v>8927.246298797394</v>
      </c>
    </row>
    <row r="20" spans="1:9" s="93" customFormat="1" ht="12.75" customHeight="1">
      <c r="A20" s="96">
        <f t="shared" si="4"/>
        <v>3</v>
      </c>
      <c r="B20" s="97">
        <f t="shared" si="0"/>
        <v>40269</v>
      </c>
      <c r="C20" s="100">
        <f aca="true" t="shared" si="7" ref="C20:C83">IF(Pay_Num&lt;&gt;"",I19,"")</f>
        <v>8927.246298797394</v>
      </c>
      <c r="D20" s="100">
        <f aca="true" t="shared" si="8" ref="D20:D83">IF(Pay_Num&lt;&gt;"",Scheduled_Monthly_Payment,"")</f>
        <v>119.26359149900578</v>
      </c>
      <c r="E20" s="101">
        <f t="shared" si="1"/>
        <v>0</v>
      </c>
      <c r="F20" s="100">
        <f t="shared" si="2"/>
        <v>119.26359149900578</v>
      </c>
      <c r="G20" s="100">
        <f t="shared" si="5"/>
        <v>74.62736000501882</v>
      </c>
      <c r="H20" s="100">
        <f t="shared" si="6"/>
        <v>44.63623149398697</v>
      </c>
      <c r="I20" s="100">
        <f t="shared" si="3"/>
        <v>8852.618938792375</v>
      </c>
    </row>
    <row r="21" spans="1:9" s="93" customFormat="1" ht="12.75">
      <c r="A21" s="96">
        <f t="shared" si="4"/>
        <v>4</v>
      </c>
      <c r="B21" s="97">
        <f t="shared" si="0"/>
        <v>40299</v>
      </c>
      <c r="C21" s="100">
        <f t="shared" si="7"/>
        <v>8852.618938792375</v>
      </c>
      <c r="D21" s="100">
        <f t="shared" si="8"/>
        <v>119.26359149900578</v>
      </c>
      <c r="E21" s="101">
        <f t="shared" si="1"/>
        <v>0</v>
      </c>
      <c r="F21" s="100">
        <f t="shared" si="2"/>
        <v>119.26359149900578</v>
      </c>
      <c r="G21" s="100">
        <f t="shared" si="5"/>
        <v>75.00049680504391</v>
      </c>
      <c r="H21" s="100">
        <f t="shared" si="6"/>
        <v>44.263094693961875</v>
      </c>
      <c r="I21" s="100">
        <f t="shared" si="3"/>
        <v>8777.618441987332</v>
      </c>
    </row>
    <row r="22" spans="1:9" s="93" customFormat="1" ht="12.75">
      <c r="A22" s="96">
        <f t="shared" si="4"/>
        <v>5</v>
      </c>
      <c r="B22" s="97">
        <f t="shared" si="0"/>
        <v>40330</v>
      </c>
      <c r="C22" s="100">
        <f t="shared" si="7"/>
        <v>8777.618441987332</v>
      </c>
      <c r="D22" s="100">
        <f t="shared" si="8"/>
        <v>119.26359149900578</v>
      </c>
      <c r="E22" s="101">
        <f t="shared" si="1"/>
        <v>0</v>
      </c>
      <c r="F22" s="100">
        <f t="shared" si="2"/>
        <v>119.26359149900578</v>
      </c>
      <c r="G22" s="100">
        <f t="shared" si="5"/>
        <v>75.37549928906913</v>
      </c>
      <c r="H22" s="100">
        <f t="shared" si="6"/>
        <v>43.88809220993665</v>
      </c>
      <c r="I22" s="100">
        <f t="shared" si="3"/>
        <v>8702.242942698262</v>
      </c>
    </row>
    <row r="23" spans="1:11" ht="12.75">
      <c r="A23" s="96">
        <f t="shared" si="4"/>
        <v>6</v>
      </c>
      <c r="B23" s="97">
        <f t="shared" si="0"/>
        <v>40360</v>
      </c>
      <c r="C23" s="100">
        <f>IF(Pay_Num&lt;&gt;"",I22,"")</f>
        <v>8702.242942698262</v>
      </c>
      <c r="D23" s="100">
        <f t="shared" si="8"/>
        <v>119.26359149900578</v>
      </c>
      <c r="E23" s="101">
        <f t="shared" si="1"/>
        <v>0</v>
      </c>
      <c r="F23" s="100">
        <f t="shared" si="2"/>
        <v>119.26359149900578</v>
      </c>
      <c r="G23" s="100">
        <f t="shared" si="5"/>
        <v>75.75237678551449</v>
      </c>
      <c r="H23" s="100">
        <f t="shared" si="6"/>
        <v>43.511214713491306</v>
      </c>
      <c r="I23" s="100">
        <f t="shared" si="3"/>
        <v>8626.490565912747</v>
      </c>
      <c r="J23" s="93"/>
      <c r="K23" s="93"/>
    </row>
    <row r="24" spans="1:11" ht="12.75">
      <c r="A24" s="96">
        <f t="shared" si="4"/>
        <v>7</v>
      </c>
      <c r="B24" s="97">
        <f t="shared" si="0"/>
        <v>40391</v>
      </c>
      <c r="C24" s="100">
        <f t="shared" si="7"/>
        <v>8626.490565912747</v>
      </c>
      <c r="D24" s="100">
        <f t="shared" si="8"/>
        <v>119.26359149900578</v>
      </c>
      <c r="E24" s="101">
        <f t="shared" si="1"/>
        <v>0</v>
      </c>
      <c r="F24" s="100">
        <f t="shared" si="2"/>
        <v>119.26359149900578</v>
      </c>
      <c r="G24" s="100">
        <f t="shared" si="5"/>
        <v>76.13113866944205</v>
      </c>
      <c r="H24" s="100">
        <f t="shared" si="6"/>
        <v>43.13245282956373</v>
      </c>
      <c r="I24" s="100">
        <f t="shared" si="3"/>
        <v>8550.359427243306</v>
      </c>
      <c r="J24" s="93"/>
      <c r="K24" s="93"/>
    </row>
    <row r="25" spans="1:11" ht="12.75">
      <c r="A25" s="96">
        <f t="shared" si="4"/>
        <v>8</v>
      </c>
      <c r="B25" s="97">
        <f t="shared" si="0"/>
        <v>40422</v>
      </c>
      <c r="C25" s="100">
        <f>IF(Pay_Num&lt;&gt;"",I24,"")</f>
        <v>8550.359427243306</v>
      </c>
      <c r="D25" s="100">
        <f t="shared" si="8"/>
        <v>119.26359149900578</v>
      </c>
      <c r="E25" s="101">
        <f t="shared" si="1"/>
        <v>0</v>
      </c>
      <c r="F25" s="100">
        <f t="shared" si="2"/>
        <v>119.26359149900578</v>
      </c>
      <c r="G25" s="100">
        <f t="shared" si="5"/>
        <v>76.51179436278926</v>
      </c>
      <c r="H25" s="100">
        <f t="shared" si="6"/>
        <v>42.75179713621653</v>
      </c>
      <c r="I25" s="100">
        <f t="shared" si="3"/>
        <v>8473.847632880515</v>
      </c>
      <c r="J25" s="93"/>
      <c r="K25" s="93"/>
    </row>
    <row r="26" spans="1:11" ht="12.75">
      <c r="A26" s="96">
        <f t="shared" si="4"/>
        <v>9</v>
      </c>
      <c r="B26" s="97">
        <f t="shared" si="0"/>
        <v>40452</v>
      </c>
      <c r="C26" s="100">
        <f t="shared" si="7"/>
        <v>8473.847632880515</v>
      </c>
      <c r="D26" s="100">
        <f t="shared" si="8"/>
        <v>119.26359149900578</v>
      </c>
      <c r="E26" s="101">
        <f t="shared" si="1"/>
        <v>0</v>
      </c>
      <c r="F26" s="100">
        <f t="shared" si="2"/>
        <v>119.26359149900578</v>
      </c>
      <c r="G26" s="100">
        <f t="shared" si="5"/>
        <v>76.89435333460321</v>
      </c>
      <c r="H26" s="100">
        <f t="shared" si="6"/>
        <v>42.369238164402574</v>
      </c>
      <c r="I26" s="100">
        <f t="shared" si="3"/>
        <v>8396.953279545913</v>
      </c>
      <c r="J26" s="93"/>
      <c r="K26" s="93"/>
    </row>
    <row r="27" spans="1:11" ht="12.75">
      <c r="A27" s="96">
        <f t="shared" si="4"/>
        <v>10</v>
      </c>
      <c r="B27" s="97">
        <f t="shared" si="0"/>
        <v>40483</v>
      </c>
      <c r="C27" s="100">
        <f t="shared" si="7"/>
        <v>8396.953279545913</v>
      </c>
      <c r="D27" s="100">
        <f t="shared" si="8"/>
        <v>119.26359149900578</v>
      </c>
      <c r="E27" s="101">
        <f t="shared" si="1"/>
        <v>0</v>
      </c>
      <c r="F27" s="100">
        <f t="shared" si="2"/>
        <v>119.26359149900578</v>
      </c>
      <c r="G27" s="100">
        <f t="shared" si="5"/>
        <v>77.27882510127623</v>
      </c>
      <c r="H27" s="100">
        <f t="shared" si="6"/>
        <v>41.984766397729565</v>
      </c>
      <c r="I27" s="100">
        <f t="shared" si="3"/>
        <v>8319.674454444636</v>
      </c>
      <c r="J27" s="93"/>
      <c r="K27" s="93"/>
    </row>
    <row r="28" spans="1:11" ht="12.75">
      <c r="A28" s="96">
        <f t="shared" si="4"/>
        <v>11</v>
      </c>
      <c r="B28" s="97">
        <f t="shared" si="0"/>
        <v>40513</v>
      </c>
      <c r="C28" s="100">
        <f t="shared" si="7"/>
        <v>8319.674454444636</v>
      </c>
      <c r="D28" s="100">
        <f t="shared" si="8"/>
        <v>119.26359149900578</v>
      </c>
      <c r="E28" s="101">
        <f t="shared" si="1"/>
        <v>0</v>
      </c>
      <c r="F28" s="100">
        <f t="shared" si="2"/>
        <v>119.26359149900578</v>
      </c>
      <c r="G28" s="100">
        <f t="shared" si="5"/>
        <v>77.6652192267826</v>
      </c>
      <c r="H28" s="100">
        <f t="shared" si="6"/>
        <v>41.59837227222318</v>
      </c>
      <c r="I28" s="100">
        <f t="shared" si="3"/>
        <v>8242.009235217853</v>
      </c>
      <c r="J28" s="93"/>
      <c r="K28" s="93"/>
    </row>
    <row r="29" spans="1:11" ht="12.75">
      <c r="A29" s="96">
        <f t="shared" si="4"/>
        <v>12</v>
      </c>
      <c r="B29" s="97">
        <f t="shared" si="0"/>
        <v>40544</v>
      </c>
      <c r="C29" s="100">
        <f t="shared" si="7"/>
        <v>8242.009235217853</v>
      </c>
      <c r="D29" s="100">
        <f t="shared" si="8"/>
        <v>119.26359149900578</v>
      </c>
      <c r="E29" s="101">
        <f t="shared" si="1"/>
        <v>0</v>
      </c>
      <c r="F29" s="100">
        <f t="shared" si="2"/>
        <v>119.26359149900578</v>
      </c>
      <c r="G29" s="100">
        <f t="shared" si="5"/>
        <v>78.05354532291653</v>
      </c>
      <c r="H29" s="100">
        <f t="shared" si="6"/>
        <v>41.21004617608926</v>
      </c>
      <c r="I29" s="100">
        <f t="shared" si="3"/>
        <v>8163.955689894936</v>
      </c>
      <c r="J29" s="93"/>
      <c r="K29" s="93"/>
    </row>
    <row r="30" spans="1:11" ht="12.75">
      <c r="A30" s="96">
        <f t="shared" si="4"/>
        <v>13</v>
      </c>
      <c r="B30" s="97">
        <f t="shared" si="0"/>
        <v>40575</v>
      </c>
      <c r="C30" s="100">
        <f t="shared" si="7"/>
        <v>8163.955689894936</v>
      </c>
      <c r="D30" s="100">
        <f t="shared" si="8"/>
        <v>119.26359149900578</v>
      </c>
      <c r="E30" s="101">
        <f t="shared" si="1"/>
        <v>0</v>
      </c>
      <c r="F30" s="100">
        <f t="shared" si="2"/>
        <v>119.26359149900578</v>
      </c>
      <c r="G30" s="100">
        <f t="shared" si="5"/>
        <v>78.44381304953112</v>
      </c>
      <c r="H30" s="100">
        <f t="shared" si="6"/>
        <v>40.819778449474676</v>
      </c>
      <c r="I30" s="100">
        <f t="shared" si="3"/>
        <v>8085.511876845405</v>
      </c>
      <c r="J30" s="93"/>
      <c r="K30" s="93"/>
    </row>
    <row r="31" spans="1:11" ht="12.75">
      <c r="A31" s="96">
        <f t="shared" si="4"/>
        <v>14</v>
      </c>
      <c r="B31" s="97">
        <f t="shared" si="0"/>
        <v>40603</v>
      </c>
      <c r="C31" s="100">
        <f t="shared" si="7"/>
        <v>8085.511876845405</v>
      </c>
      <c r="D31" s="100">
        <f t="shared" si="8"/>
        <v>119.26359149900578</v>
      </c>
      <c r="E31" s="101">
        <f t="shared" si="1"/>
        <v>0</v>
      </c>
      <c r="F31" s="100">
        <f t="shared" si="2"/>
        <v>119.26359149900578</v>
      </c>
      <c r="G31" s="100">
        <f t="shared" si="5"/>
        <v>78.83603211477876</v>
      </c>
      <c r="H31" s="100">
        <f t="shared" si="6"/>
        <v>40.427559384227024</v>
      </c>
      <c r="I31" s="100">
        <f t="shared" si="3"/>
        <v>8006.6758447306265</v>
      </c>
      <c r="J31" s="93"/>
      <c r="K31" s="93"/>
    </row>
    <row r="32" spans="1:11" ht="12.75">
      <c r="A32" s="96">
        <f t="shared" si="4"/>
        <v>15</v>
      </c>
      <c r="B32" s="97">
        <f t="shared" si="0"/>
        <v>40634</v>
      </c>
      <c r="C32" s="100">
        <f t="shared" si="7"/>
        <v>8006.6758447306265</v>
      </c>
      <c r="D32" s="100">
        <f t="shared" si="8"/>
        <v>119.26359149900578</v>
      </c>
      <c r="E32" s="101">
        <f t="shared" si="1"/>
        <v>0</v>
      </c>
      <c r="F32" s="100">
        <f t="shared" si="2"/>
        <v>119.26359149900578</v>
      </c>
      <c r="G32" s="100">
        <f t="shared" si="5"/>
        <v>79.23021227535264</v>
      </c>
      <c r="H32" s="100">
        <f t="shared" si="6"/>
        <v>40.033379223653135</v>
      </c>
      <c r="I32" s="100">
        <f t="shared" si="3"/>
        <v>7927.445632455274</v>
      </c>
      <c r="J32" s="93"/>
      <c r="K32" s="93"/>
    </row>
    <row r="33" spans="1:11" ht="12.75">
      <c r="A33" s="96">
        <f t="shared" si="4"/>
        <v>16</v>
      </c>
      <c r="B33" s="97">
        <f t="shared" si="0"/>
        <v>40664</v>
      </c>
      <c r="C33" s="100">
        <f t="shared" si="7"/>
        <v>7927.445632455274</v>
      </c>
      <c r="D33" s="100">
        <f t="shared" si="8"/>
        <v>119.26359149900578</v>
      </c>
      <c r="E33" s="101">
        <f t="shared" si="1"/>
        <v>0</v>
      </c>
      <c r="F33" s="100">
        <f t="shared" si="2"/>
        <v>119.26359149900578</v>
      </c>
      <c r="G33" s="100">
        <f t="shared" si="5"/>
        <v>79.62636333672941</v>
      </c>
      <c r="H33" s="100">
        <f t="shared" si="6"/>
        <v>39.637228162276365</v>
      </c>
      <c r="I33" s="100">
        <f t="shared" si="3"/>
        <v>7847.819269118544</v>
      </c>
      <c r="J33" s="93"/>
      <c r="K33" s="93"/>
    </row>
    <row r="34" spans="1:11" ht="12.75">
      <c r="A34" s="96">
        <f t="shared" si="4"/>
        <v>17</v>
      </c>
      <c r="B34" s="97">
        <f t="shared" si="0"/>
        <v>40695</v>
      </c>
      <c r="C34" s="100">
        <f t="shared" si="7"/>
        <v>7847.819269118544</v>
      </c>
      <c r="D34" s="100">
        <f t="shared" si="8"/>
        <v>119.26359149900578</v>
      </c>
      <c r="E34" s="101">
        <f t="shared" si="1"/>
        <v>0</v>
      </c>
      <c r="F34" s="100">
        <f t="shared" si="2"/>
        <v>119.26359149900578</v>
      </c>
      <c r="G34" s="100">
        <f t="shared" si="5"/>
        <v>80.02449515341306</v>
      </c>
      <c r="H34" s="100">
        <f t="shared" si="6"/>
        <v>39.23909634559272</v>
      </c>
      <c r="I34" s="100">
        <f t="shared" si="3"/>
        <v>7767.794773965131</v>
      </c>
      <c r="J34" s="93"/>
      <c r="K34" s="93"/>
    </row>
    <row r="35" spans="1:11" ht="12.75">
      <c r="A35" s="96">
        <f t="shared" si="4"/>
        <v>18</v>
      </c>
      <c r="B35" s="97">
        <f t="shared" si="0"/>
        <v>40725</v>
      </c>
      <c r="C35" s="100">
        <f t="shared" si="7"/>
        <v>7767.794773965131</v>
      </c>
      <c r="D35" s="100">
        <f t="shared" si="8"/>
        <v>119.26359149900578</v>
      </c>
      <c r="E35" s="101">
        <f t="shared" si="1"/>
        <v>0</v>
      </c>
      <c r="F35" s="100">
        <f t="shared" si="2"/>
        <v>119.26359149900578</v>
      </c>
      <c r="G35" s="100">
        <f t="shared" si="5"/>
        <v>80.42461762918013</v>
      </c>
      <c r="H35" s="100">
        <f t="shared" si="6"/>
        <v>38.83897386982565</v>
      </c>
      <c r="I35" s="100">
        <f t="shared" si="3"/>
        <v>7687.370156335951</v>
      </c>
      <c r="J35" s="93"/>
      <c r="K35" s="93"/>
    </row>
    <row r="36" spans="1:11" ht="12.75">
      <c r="A36" s="96">
        <f t="shared" si="4"/>
        <v>19</v>
      </c>
      <c r="B36" s="97">
        <f t="shared" si="0"/>
        <v>40756</v>
      </c>
      <c r="C36" s="100">
        <f t="shared" si="7"/>
        <v>7687.370156335951</v>
      </c>
      <c r="D36" s="100">
        <f t="shared" si="8"/>
        <v>119.26359149900578</v>
      </c>
      <c r="E36" s="101">
        <f t="shared" si="1"/>
        <v>0</v>
      </c>
      <c r="F36" s="100">
        <f t="shared" si="2"/>
        <v>119.26359149900578</v>
      </c>
      <c r="G36" s="100">
        <f t="shared" si="5"/>
        <v>80.82674071732603</v>
      </c>
      <c r="H36" s="100">
        <f t="shared" si="6"/>
        <v>38.43685078167975</v>
      </c>
      <c r="I36" s="100">
        <f t="shared" si="3"/>
        <v>7606.543415618625</v>
      </c>
      <c r="J36" s="93"/>
      <c r="K36" s="93"/>
    </row>
    <row r="37" spans="1:11" ht="12.75">
      <c r="A37" s="96">
        <f t="shared" si="4"/>
        <v>20</v>
      </c>
      <c r="B37" s="97">
        <f t="shared" si="0"/>
        <v>40787</v>
      </c>
      <c r="C37" s="100">
        <f t="shared" si="7"/>
        <v>7606.543415618625</v>
      </c>
      <c r="D37" s="100">
        <f t="shared" si="8"/>
        <v>119.26359149900578</v>
      </c>
      <c r="E37" s="101">
        <f t="shared" si="1"/>
        <v>0</v>
      </c>
      <c r="F37" s="100">
        <f t="shared" si="2"/>
        <v>119.26359149900578</v>
      </c>
      <c r="G37" s="100">
        <f t="shared" si="5"/>
        <v>81.23087442091267</v>
      </c>
      <c r="H37" s="100">
        <f t="shared" si="6"/>
        <v>38.03271707809312</v>
      </c>
      <c r="I37" s="100">
        <f t="shared" si="3"/>
        <v>7525.312541197712</v>
      </c>
      <c r="J37" s="93"/>
      <c r="K37" s="93"/>
    </row>
    <row r="38" spans="1:11" ht="12.75">
      <c r="A38" s="96">
        <f t="shared" si="4"/>
        <v>21</v>
      </c>
      <c r="B38" s="97">
        <f t="shared" si="0"/>
        <v>40817</v>
      </c>
      <c r="C38" s="100">
        <f t="shared" si="7"/>
        <v>7525.312541197712</v>
      </c>
      <c r="D38" s="100">
        <f t="shared" si="8"/>
        <v>119.26359149900578</v>
      </c>
      <c r="E38" s="101">
        <f t="shared" si="1"/>
        <v>0</v>
      </c>
      <c r="F38" s="100">
        <f t="shared" si="2"/>
        <v>119.26359149900578</v>
      </c>
      <c r="G38" s="100">
        <f t="shared" si="5"/>
        <v>81.63702879301724</v>
      </c>
      <c r="H38" s="100">
        <f t="shared" si="6"/>
        <v>37.626562705988555</v>
      </c>
      <c r="I38" s="100">
        <f t="shared" si="3"/>
        <v>7443.675512404694</v>
      </c>
      <c r="J38" s="93"/>
      <c r="K38" s="93"/>
    </row>
    <row r="39" spans="1:11" ht="12.75">
      <c r="A39" s="96">
        <f t="shared" si="4"/>
        <v>22</v>
      </c>
      <c r="B39" s="97">
        <f t="shared" si="0"/>
        <v>40848</v>
      </c>
      <c r="C39" s="100">
        <f t="shared" si="7"/>
        <v>7443.675512404694</v>
      </c>
      <c r="D39" s="100">
        <f t="shared" si="8"/>
        <v>119.26359149900578</v>
      </c>
      <c r="E39" s="101">
        <f t="shared" si="1"/>
        <v>0</v>
      </c>
      <c r="F39" s="100">
        <f t="shared" si="2"/>
        <v>119.26359149900578</v>
      </c>
      <c r="G39" s="100">
        <f t="shared" si="5"/>
        <v>82.04521393698232</v>
      </c>
      <c r="H39" s="100">
        <f t="shared" si="6"/>
        <v>37.21837756202347</v>
      </c>
      <c r="I39" s="100">
        <f t="shared" si="3"/>
        <v>7361.630298467711</v>
      </c>
      <c r="J39" s="93"/>
      <c r="K39" s="93"/>
    </row>
    <row r="40" spans="1:11" ht="12.75">
      <c r="A40" s="96">
        <f t="shared" si="4"/>
        <v>23</v>
      </c>
      <c r="B40" s="97">
        <f t="shared" si="0"/>
        <v>40878</v>
      </c>
      <c r="C40" s="100">
        <f t="shared" si="7"/>
        <v>7361.630298467711</v>
      </c>
      <c r="D40" s="100">
        <f t="shared" si="8"/>
        <v>119.26359149900578</v>
      </c>
      <c r="E40" s="101">
        <f t="shared" si="1"/>
        <v>0</v>
      </c>
      <c r="F40" s="100">
        <f t="shared" si="2"/>
        <v>119.26359149900578</v>
      </c>
      <c r="G40" s="100">
        <f t="shared" si="5"/>
        <v>82.45544000666723</v>
      </c>
      <c r="H40" s="100">
        <f t="shared" si="6"/>
        <v>36.80815149233856</v>
      </c>
      <c r="I40" s="100">
        <f t="shared" si="3"/>
        <v>7279.174858461044</v>
      </c>
      <c r="J40" s="93"/>
      <c r="K40" s="93"/>
    </row>
    <row r="41" spans="1:11" ht="12.75">
      <c r="A41" s="96">
        <f t="shared" si="4"/>
        <v>24</v>
      </c>
      <c r="B41" s="97">
        <f t="shared" si="0"/>
        <v>40909</v>
      </c>
      <c r="C41" s="100">
        <f t="shared" si="7"/>
        <v>7279.174858461044</v>
      </c>
      <c r="D41" s="100">
        <f t="shared" si="8"/>
        <v>119.26359149900578</v>
      </c>
      <c r="E41" s="101">
        <f t="shared" si="1"/>
        <v>0</v>
      </c>
      <c r="F41" s="100">
        <f t="shared" si="2"/>
        <v>119.26359149900578</v>
      </c>
      <c r="G41" s="100">
        <f t="shared" si="5"/>
        <v>82.86771720670058</v>
      </c>
      <c r="H41" s="100">
        <f t="shared" si="6"/>
        <v>36.395874292305216</v>
      </c>
      <c r="I41" s="100">
        <f t="shared" si="3"/>
        <v>7196.307141254343</v>
      </c>
      <c r="J41" s="93"/>
      <c r="K41" s="93"/>
    </row>
    <row r="42" spans="1:11" ht="12.75">
      <c r="A42" s="96">
        <f t="shared" si="4"/>
        <v>25</v>
      </c>
      <c r="B42" s="97">
        <f t="shared" si="0"/>
        <v>40940</v>
      </c>
      <c r="C42" s="100">
        <f t="shared" si="7"/>
        <v>7196.307141254343</v>
      </c>
      <c r="D42" s="100">
        <f t="shared" si="8"/>
        <v>119.26359149900578</v>
      </c>
      <c r="E42" s="101">
        <f t="shared" si="1"/>
        <v>0</v>
      </c>
      <c r="F42" s="100">
        <f t="shared" si="2"/>
        <v>119.26359149900578</v>
      </c>
      <c r="G42" s="100">
        <f t="shared" si="5"/>
        <v>83.28205579273407</v>
      </c>
      <c r="H42" s="100">
        <f t="shared" si="6"/>
        <v>35.981535706271714</v>
      </c>
      <c r="I42" s="100">
        <f t="shared" si="3"/>
        <v>7113.025085461609</v>
      </c>
      <c r="J42" s="93"/>
      <c r="K42" s="93"/>
    </row>
    <row r="43" spans="1:11" ht="12.75">
      <c r="A43" s="96">
        <f t="shared" si="4"/>
        <v>26</v>
      </c>
      <c r="B43" s="97">
        <f t="shared" si="0"/>
        <v>40969</v>
      </c>
      <c r="C43" s="100">
        <f t="shared" si="7"/>
        <v>7113.025085461609</v>
      </c>
      <c r="D43" s="100">
        <f t="shared" si="8"/>
        <v>119.26359149900578</v>
      </c>
      <c r="E43" s="101">
        <f t="shared" si="1"/>
        <v>0</v>
      </c>
      <c r="F43" s="100">
        <f t="shared" si="2"/>
        <v>119.26359149900578</v>
      </c>
      <c r="G43" s="100">
        <f t="shared" si="5"/>
        <v>83.69846607169774</v>
      </c>
      <c r="H43" s="100">
        <f t="shared" si="6"/>
        <v>35.56512542730804</v>
      </c>
      <c r="I43" s="100">
        <f t="shared" si="3"/>
        <v>7029.326619389911</v>
      </c>
      <c r="J43" s="93"/>
      <c r="K43" s="93"/>
    </row>
    <row r="44" spans="1:11" ht="12.75">
      <c r="A44" s="96">
        <f t="shared" si="4"/>
        <v>27</v>
      </c>
      <c r="B44" s="97">
        <f t="shared" si="0"/>
        <v>41000</v>
      </c>
      <c r="C44" s="100">
        <f t="shared" si="7"/>
        <v>7029.326619389911</v>
      </c>
      <c r="D44" s="100">
        <f t="shared" si="8"/>
        <v>119.26359149900578</v>
      </c>
      <c r="E44" s="101">
        <f t="shared" si="1"/>
        <v>0</v>
      </c>
      <c r="F44" s="100">
        <f t="shared" si="2"/>
        <v>119.26359149900578</v>
      </c>
      <c r="G44" s="100">
        <f t="shared" si="5"/>
        <v>84.11695840205624</v>
      </c>
      <c r="H44" s="100">
        <f t="shared" si="6"/>
        <v>35.14663309694955</v>
      </c>
      <c r="I44" s="100">
        <f t="shared" si="3"/>
        <v>6945.2096609878545</v>
      </c>
      <c r="J44" s="93"/>
      <c r="K44" s="93"/>
    </row>
    <row r="45" spans="1:11" ht="12.75">
      <c r="A45" s="96">
        <f t="shared" si="4"/>
        <v>28</v>
      </c>
      <c r="B45" s="97">
        <f t="shared" si="0"/>
        <v>41030</v>
      </c>
      <c r="C45" s="100">
        <f t="shared" si="7"/>
        <v>6945.2096609878545</v>
      </c>
      <c r="D45" s="100">
        <f t="shared" si="8"/>
        <v>119.26359149900578</v>
      </c>
      <c r="E45" s="101">
        <f t="shared" si="1"/>
        <v>0</v>
      </c>
      <c r="F45" s="100">
        <f t="shared" si="2"/>
        <v>119.26359149900578</v>
      </c>
      <c r="G45" s="100">
        <f t="shared" si="5"/>
        <v>84.53754319406652</v>
      </c>
      <c r="H45" s="100">
        <f t="shared" si="6"/>
        <v>34.72604830493927</v>
      </c>
      <c r="I45" s="100">
        <f t="shared" si="3"/>
        <v>6860.672117793788</v>
      </c>
      <c r="J45" s="93"/>
      <c r="K45" s="93"/>
    </row>
    <row r="46" spans="1:11" ht="12.75">
      <c r="A46" s="96">
        <f t="shared" si="4"/>
        <v>29</v>
      </c>
      <c r="B46" s="97">
        <f t="shared" si="0"/>
        <v>41061</v>
      </c>
      <c r="C46" s="100">
        <f t="shared" si="7"/>
        <v>6860.672117793788</v>
      </c>
      <c r="D46" s="100">
        <f t="shared" si="8"/>
        <v>119.26359149900578</v>
      </c>
      <c r="E46" s="101">
        <f t="shared" si="1"/>
        <v>0</v>
      </c>
      <c r="F46" s="100">
        <f t="shared" si="2"/>
        <v>119.26359149900578</v>
      </c>
      <c r="G46" s="100">
        <f t="shared" si="5"/>
        <v>84.96023091003684</v>
      </c>
      <c r="H46" s="100">
        <f t="shared" si="6"/>
        <v>34.303360588968935</v>
      </c>
      <c r="I46" s="100">
        <f t="shared" si="3"/>
        <v>6775.7118868837515</v>
      </c>
      <c r="J46" s="93"/>
      <c r="K46" s="93"/>
    </row>
    <row r="47" spans="1:11" ht="12.75">
      <c r="A47" s="96">
        <f t="shared" si="4"/>
        <v>30</v>
      </c>
      <c r="B47" s="97">
        <f t="shared" si="0"/>
        <v>41091</v>
      </c>
      <c r="C47" s="100">
        <f t="shared" si="7"/>
        <v>6775.7118868837515</v>
      </c>
      <c r="D47" s="100">
        <f t="shared" si="8"/>
        <v>119.26359149900578</v>
      </c>
      <c r="E47" s="101">
        <f t="shared" si="1"/>
        <v>0</v>
      </c>
      <c r="F47" s="100">
        <f t="shared" si="2"/>
        <v>119.26359149900578</v>
      </c>
      <c r="G47" s="100">
        <f t="shared" si="5"/>
        <v>85.38503206458702</v>
      </c>
      <c r="H47" s="100">
        <f t="shared" si="6"/>
        <v>33.878559434418754</v>
      </c>
      <c r="I47" s="100">
        <f t="shared" si="3"/>
        <v>6690.3268548191645</v>
      </c>
      <c r="J47" s="93"/>
      <c r="K47" s="93"/>
    </row>
    <row r="48" spans="1:11" ht="12.75">
      <c r="A48" s="96">
        <f t="shared" si="4"/>
        <v>31</v>
      </c>
      <c r="B48" s="97">
        <f t="shared" si="0"/>
        <v>41122</v>
      </c>
      <c r="C48" s="100">
        <f t="shared" si="7"/>
        <v>6690.3268548191645</v>
      </c>
      <c r="D48" s="100">
        <f t="shared" si="8"/>
        <v>119.26359149900578</v>
      </c>
      <c r="E48" s="101">
        <f t="shared" si="1"/>
        <v>0</v>
      </c>
      <c r="F48" s="100">
        <f t="shared" si="2"/>
        <v>119.26359149900578</v>
      </c>
      <c r="G48" s="100">
        <f t="shared" si="5"/>
        <v>85.81195722490997</v>
      </c>
      <c r="H48" s="100">
        <f t="shared" si="6"/>
        <v>33.45163427409582</v>
      </c>
      <c r="I48" s="100">
        <f t="shared" si="3"/>
        <v>6604.514897594255</v>
      </c>
      <c r="J48" s="93"/>
      <c r="K48" s="93"/>
    </row>
    <row r="49" spans="1:11" ht="12.75">
      <c r="A49" s="96">
        <f t="shared" si="4"/>
        <v>32</v>
      </c>
      <c r="B49" s="97">
        <f t="shared" si="0"/>
        <v>41153</v>
      </c>
      <c r="C49" s="100">
        <f t="shared" si="7"/>
        <v>6604.514897594255</v>
      </c>
      <c r="D49" s="100">
        <f t="shared" si="8"/>
        <v>119.26359149900578</v>
      </c>
      <c r="E49" s="101">
        <f t="shared" si="1"/>
        <v>0</v>
      </c>
      <c r="F49" s="100">
        <f t="shared" si="2"/>
        <v>119.26359149900578</v>
      </c>
      <c r="G49" s="100">
        <f t="shared" si="5"/>
        <v>86.2410170110345</v>
      </c>
      <c r="H49" s="100">
        <f t="shared" si="6"/>
        <v>33.022574487971276</v>
      </c>
      <c r="I49" s="100">
        <f t="shared" si="3"/>
        <v>6518.2738805832205</v>
      </c>
      <c r="J49" s="93"/>
      <c r="K49" s="93"/>
    </row>
    <row r="50" spans="1:11" ht="12.75">
      <c r="A50" s="96">
        <f t="shared" si="4"/>
        <v>33</v>
      </c>
      <c r="B50" s="97">
        <f t="shared" si="0"/>
        <v>41183</v>
      </c>
      <c r="C50" s="100">
        <f t="shared" si="7"/>
        <v>6518.2738805832205</v>
      </c>
      <c r="D50" s="100">
        <f t="shared" si="8"/>
        <v>119.26359149900578</v>
      </c>
      <c r="E50" s="101">
        <f t="shared" si="1"/>
        <v>0</v>
      </c>
      <c r="F50" s="100">
        <f t="shared" si="2"/>
        <v>119.26359149900578</v>
      </c>
      <c r="G50" s="100">
        <f t="shared" si="5"/>
        <v>86.67222209608968</v>
      </c>
      <c r="H50" s="100">
        <f t="shared" si="6"/>
        <v>32.5913694029161</v>
      </c>
      <c r="I50" s="100">
        <f t="shared" si="3"/>
        <v>6431.60165848713</v>
      </c>
      <c r="J50" s="93"/>
      <c r="K50" s="93"/>
    </row>
    <row r="51" spans="1:11" ht="12.75">
      <c r="A51" s="96">
        <f t="shared" si="4"/>
        <v>34</v>
      </c>
      <c r="B51" s="97">
        <f t="shared" si="0"/>
        <v>41214</v>
      </c>
      <c r="C51" s="100">
        <f t="shared" si="7"/>
        <v>6431.60165848713</v>
      </c>
      <c r="D51" s="100">
        <f t="shared" si="8"/>
        <v>119.26359149900578</v>
      </c>
      <c r="E51" s="101">
        <f t="shared" si="1"/>
        <v>0</v>
      </c>
      <c r="F51" s="100">
        <f t="shared" si="2"/>
        <v>119.26359149900578</v>
      </c>
      <c r="G51" s="100">
        <f t="shared" si="5"/>
        <v>87.10558320657013</v>
      </c>
      <c r="H51" s="100">
        <f t="shared" si="6"/>
        <v>32.15800829243565</v>
      </c>
      <c r="I51" s="100">
        <f t="shared" si="3"/>
        <v>6344.49607528056</v>
      </c>
      <c r="J51" s="93"/>
      <c r="K51" s="93"/>
    </row>
    <row r="52" spans="1:11" ht="12.75">
      <c r="A52" s="96">
        <f t="shared" si="4"/>
        <v>35</v>
      </c>
      <c r="B52" s="97">
        <f t="shared" si="0"/>
        <v>41244</v>
      </c>
      <c r="C52" s="100">
        <f t="shared" si="7"/>
        <v>6344.49607528056</v>
      </c>
      <c r="D52" s="100">
        <f t="shared" si="8"/>
        <v>119.26359149900578</v>
      </c>
      <c r="E52" s="101">
        <f t="shared" si="1"/>
        <v>0</v>
      </c>
      <c r="F52" s="100">
        <f t="shared" si="2"/>
        <v>119.26359149900578</v>
      </c>
      <c r="G52" s="100">
        <f t="shared" si="5"/>
        <v>87.54111112260298</v>
      </c>
      <c r="H52" s="100">
        <f t="shared" si="6"/>
        <v>31.7224803764028</v>
      </c>
      <c r="I52" s="100">
        <f t="shared" si="3"/>
        <v>6256.954964157957</v>
      </c>
      <c r="J52" s="93"/>
      <c r="K52" s="93"/>
    </row>
    <row r="53" spans="1:11" ht="12.75">
      <c r="A53" s="96">
        <f t="shared" si="4"/>
        <v>36</v>
      </c>
      <c r="B53" s="97">
        <f t="shared" si="0"/>
        <v>41275</v>
      </c>
      <c r="C53" s="100">
        <f t="shared" si="7"/>
        <v>6256.954964157957</v>
      </c>
      <c r="D53" s="100">
        <f t="shared" si="8"/>
        <v>119.26359149900578</v>
      </c>
      <c r="E53" s="101">
        <f t="shared" si="1"/>
        <v>0</v>
      </c>
      <c r="F53" s="100">
        <f t="shared" si="2"/>
        <v>119.26359149900578</v>
      </c>
      <c r="G53" s="100">
        <f t="shared" si="5"/>
        <v>87.978816678216</v>
      </c>
      <c r="H53" s="100">
        <f t="shared" si="6"/>
        <v>31.28477482078978</v>
      </c>
      <c r="I53" s="100">
        <f t="shared" si="3"/>
        <v>6168.976147479741</v>
      </c>
      <c r="J53" s="93"/>
      <c r="K53" s="93"/>
    </row>
    <row r="54" spans="1:11" ht="12.75">
      <c r="A54" s="96">
        <f t="shared" si="4"/>
        <v>37</v>
      </c>
      <c r="B54" s="97">
        <f t="shared" si="0"/>
        <v>41306</v>
      </c>
      <c r="C54" s="100">
        <f t="shared" si="7"/>
        <v>6168.976147479741</v>
      </c>
      <c r="D54" s="100">
        <f t="shared" si="8"/>
        <v>119.26359149900578</v>
      </c>
      <c r="E54" s="101">
        <f t="shared" si="1"/>
        <v>0</v>
      </c>
      <c r="F54" s="100">
        <f t="shared" si="2"/>
        <v>119.26359149900578</v>
      </c>
      <c r="G54" s="100">
        <f t="shared" si="5"/>
        <v>88.41871076160709</v>
      </c>
      <c r="H54" s="100">
        <f t="shared" si="6"/>
        <v>30.8448807373987</v>
      </c>
      <c r="I54" s="100">
        <f t="shared" si="3"/>
        <v>6080.557436718133</v>
      </c>
      <c r="J54" s="93"/>
      <c r="K54" s="93"/>
    </row>
    <row r="55" spans="1:11" ht="12.75">
      <c r="A55" s="96">
        <f t="shared" si="4"/>
        <v>38</v>
      </c>
      <c r="B55" s="97">
        <f t="shared" si="0"/>
        <v>41334</v>
      </c>
      <c r="C55" s="100">
        <f t="shared" si="7"/>
        <v>6080.557436718133</v>
      </c>
      <c r="D55" s="100">
        <f t="shared" si="8"/>
        <v>119.26359149900578</v>
      </c>
      <c r="E55" s="101">
        <f t="shared" si="1"/>
        <v>0</v>
      </c>
      <c r="F55" s="100">
        <f t="shared" si="2"/>
        <v>119.26359149900578</v>
      </c>
      <c r="G55" s="100">
        <f t="shared" si="5"/>
        <v>88.86080431541512</v>
      </c>
      <c r="H55" s="100">
        <f t="shared" si="6"/>
        <v>30.402787183590664</v>
      </c>
      <c r="I55" s="100">
        <f t="shared" si="3"/>
        <v>5991.696632402718</v>
      </c>
      <c r="J55" s="93"/>
      <c r="K55" s="93"/>
    </row>
    <row r="56" spans="1:11" ht="12.75">
      <c r="A56" s="96">
        <f t="shared" si="4"/>
        <v>39</v>
      </c>
      <c r="B56" s="97">
        <f t="shared" si="0"/>
        <v>41365</v>
      </c>
      <c r="C56" s="100">
        <f t="shared" si="7"/>
        <v>5991.696632402718</v>
      </c>
      <c r="D56" s="100">
        <f t="shared" si="8"/>
        <v>119.26359149900578</v>
      </c>
      <c r="E56" s="101">
        <f t="shared" si="1"/>
        <v>0</v>
      </c>
      <c r="F56" s="100">
        <f t="shared" si="2"/>
        <v>119.26359149900578</v>
      </c>
      <c r="G56" s="100">
        <f t="shared" si="5"/>
        <v>89.30510833699219</v>
      </c>
      <c r="H56" s="100">
        <f t="shared" si="6"/>
        <v>29.95848316201359</v>
      </c>
      <c r="I56" s="100">
        <f t="shared" si="3"/>
        <v>5902.391524065726</v>
      </c>
      <c r="J56" s="93"/>
      <c r="K56" s="93"/>
    </row>
    <row r="57" spans="1:11" ht="12.75">
      <c r="A57" s="96">
        <f t="shared" si="4"/>
        <v>40</v>
      </c>
      <c r="B57" s="97">
        <f t="shared" si="0"/>
        <v>41395</v>
      </c>
      <c r="C57" s="100">
        <f t="shared" si="7"/>
        <v>5902.391524065726</v>
      </c>
      <c r="D57" s="100">
        <f t="shared" si="8"/>
        <v>119.26359149900578</v>
      </c>
      <c r="E57" s="101">
        <f t="shared" si="1"/>
        <v>0</v>
      </c>
      <c r="F57" s="100">
        <f t="shared" si="2"/>
        <v>119.26359149900578</v>
      </c>
      <c r="G57" s="100">
        <f t="shared" si="5"/>
        <v>89.75163387867715</v>
      </c>
      <c r="H57" s="100">
        <f t="shared" si="6"/>
        <v>29.51195762032863</v>
      </c>
      <c r="I57" s="100">
        <f t="shared" si="3"/>
        <v>5812.639890187049</v>
      </c>
      <c r="J57" s="93"/>
      <c r="K57" s="93"/>
    </row>
    <row r="58" spans="1:11" ht="12.75">
      <c r="A58" s="96">
        <f t="shared" si="4"/>
        <v>41</v>
      </c>
      <c r="B58" s="97">
        <f t="shared" si="0"/>
        <v>41426</v>
      </c>
      <c r="C58" s="100">
        <f t="shared" si="7"/>
        <v>5812.639890187049</v>
      </c>
      <c r="D58" s="100">
        <f t="shared" si="8"/>
        <v>119.26359149900578</v>
      </c>
      <c r="E58" s="101">
        <f t="shared" si="1"/>
        <v>0</v>
      </c>
      <c r="F58" s="100">
        <f t="shared" si="2"/>
        <v>119.26359149900578</v>
      </c>
      <c r="G58" s="100">
        <f t="shared" si="5"/>
        <v>90.20039204807054</v>
      </c>
      <c r="H58" s="100">
        <f t="shared" si="6"/>
        <v>29.063199450935244</v>
      </c>
      <c r="I58" s="100">
        <f t="shared" si="3"/>
        <v>5722.439498138979</v>
      </c>
      <c r="J58" s="93"/>
      <c r="K58" s="93"/>
    </row>
    <row r="59" spans="1:11" ht="12.75">
      <c r="A59" s="96">
        <f t="shared" si="4"/>
        <v>42</v>
      </c>
      <c r="B59" s="97">
        <f t="shared" si="0"/>
        <v>41456</v>
      </c>
      <c r="C59" s="100">
        <f t="shared" si="7"/>
        <v>5722.439498138979</v>
      </c>
      <c r="D59" s="100">
        <f t="shared" si="8"/>
        <v>119.26359149900578</v>
      </c>
      <c r="E59" s="101">
        <f t="shared" si="1"/>
        <v>0</v>
      </c>
      <c r="F59" s="100">
        <f t="shared" si="2"/>
        <v>119.26359149900578</v>
      </c>
      <c r="G59" s="100">
        <f t="shared" si="5"/>
        <v>90.65139400831089</v>
      </c>
      <c r="H59" s="100">
        <f t="shared" si="6"/>
        <v>28.612197490694893</v>
      </c>
      <c r="I59" s="100">
        <f t="shared" si="3"/>
        <v>5631.788104130668</v>
      </c>
      <c r="J59" s="93"/>
      <c r="K59" s="93"/>
    </row>
    <row r="60" spans="1:11" ht="12.75">
      <c r="A60" s="96">
        <f t="shared" si="4"/>
        <v>43</v>
      </c>
      <c r="B60" s="97">
        <f t="shared" si="0"/>
        <v>41487</v>
      </c>
      <c r="C60" s="100">
        <f t="shared" si="7"/>
        <v>5631.788104130668</v>
      </c>
      <c r="D60" s="100">
        <f t="shared" si="8"/>
        <v>119.26359149900578</v>
      </c>
      <c r="E60" s="101">
        <f t="shared" si="1"/>
        <v>0</v>
      </c>
      <c r="F60" s="100">
        <f t="shared" si="2"/>
        <v>119.26359149900578</v>
      </c>
      <c r="G60" s="100">
        <f t="shared" si="5"/>
        <v>91.10465097835244</v>
      </c>
      <c r="H60" s="100">
        <f t="shared" si="6"/>
        <v>28.158940520653342</v>
      </c>
      <c r="I60" s="100">
        <f t="shared" si="3"/>
        <v>5540.683453152315</v>
      </c>
      <c r="J60" s="93"/>
      <c r="K60" s="93"/>
    </row>
    <row r="61" spans="1:11" ht="12.75">
      <c r="A61" s="96">
        <f t="shared" si="4"/>
        <v>44</v>
      </c>
      <c r="B61" s="97">
        <f t="shared" si="0"/>
        <v>41518</v>
      </c>
      <c r="C61" s="100">
        <f t="shared" si="7"/>
        <v>5540.683453152315</v>
      </c>
      <c r="D61" s="100">
        <f t="shared" si="8"/>
        <v>119.26359149900578</v>
      </c>
      <c r="E61" s="101">
        <f t="shared" si="1"/>
        <v>0</v>
      </c>
      <c r="F61" s="100">
        <f t="shared" si="2"/>
        <v>119.26359149900578</v>
      </c>
      <c r="G61" s="100">
        <f t="shared" si="5"/>
        <v>91.56017423324421</v>
      </c>
      <c r="H61" s="100">
        <f t="shared" si="6"/>
        <v>27.703417265761576</v>
      </c>
      <c r="I61" s="100">
        <f t="shared" si="3"/>
        <v>5449.123278919071</v>
      </c>
      <c r="J61" s="93"/>
      <c r="K61" s="93"/>
    </row>
    <row r="62" spans="1:11" ht="12.75">
      <c r="A62" s="96">
        <f t="shared" si="4"/>
        <v>45</v>
      </c>
      <c r="B62" s="97">
        <f t="shared" si="0"/>
        <v>41548</v>
      </c>
      <c r="C62" s="100">
        <f t="shared" si="7"/>
        <v>5449.123278919071</v>
      </c>
      <c r="D62" s="100">
        <f t="shared" si="8"/>
        <v>119.26359149900578</v>
      </c>
      <c r="E62" s="101">
        <f t="shared" si="1"/>
        <v>0</v>
      </c>
      <c r="F62" s="100">
        <f t="shared" si="2"/>
        <v>119.26359149900578</v>
      </c>
      <c r="G62" s="100">
        <f t="shared" si="5"/>
        <v>92.01797510441043</v>
      </c>
      <c r="H62" s="100">
        <f t="shared" si="6"/>
        <v>27.245616394595356</v>
      </c>
      <c r="I62" s="100">
        <f t="shared" si="3"/>
        <v>5357.10530381466</v>
      </c>
      <c r="J62" s="93"/>
      <c r="K62" s="93"/>
    </row>
    <row r="63" spans="1:11" ht="12.75">
      <c r="A63" s="96">
        <f t="shared" si="4"/>
        <v>46</v>
      </c>
      <c r="B63" s="97">
        <f t="shared" si="0"/>
        <v>41579</v>
      </c>
      <c r="C63" s="100">
        <f t="shared" si="7"/>
        <v>5357.10530381466</v>
      </c>
      <c r="D63" s="100">
        <f t="shared" si="8"/>
        <v>119.26359149900578</v>
      </c>
      <c r="E63" s="101">
        <f t="shared" si="1"/>
        <v>0</v>
      </c>
      <c r="F63" s="100">
        <f t="shared" si="2"/>
        <v>119.26359149900578</v>
      </c>
      <c r="G63" s="100">
        <f t="shared" si="5"/>
        <v>92.47806497993248</v>
      </c>
      <c r="H63" s="100">
        <f t="shared" si="6"/>
        <v>26.7855265190733</v>
      </c>
      <c r="I63" s="100">
        <f t="shared" si="3"/>
        <v>5264.627238834728</v>
      </c>
      <c r="J63" s="93"/>
      <c r="K63" s="93"/>
    </row>
    <row r="64" spans="1:11" ht="12.75">
      <c r="A64" s="96">
        <f t="shared" si="4"/>
        <v>47</v>
      </c>
      <c r="B64" s="97">
        <f t="shared" si="0"/>
        <v>41609</v>
      </c>
      <c r="C64" s="100">
        <f t="shared" si="7"/>
        <v>5264.627238834728</v>
      </c>
      <c r="D64" s="100">
        <f t="shared" si="8"/>
        <v>119.26359149900578</v>
      </c>
      <c r="E64" s="101">
        <f t="shared" si="1"/>
        <v>0</v>
      </c>
      <c r="F64" s="100">
        <f t="shared" si="2"/>
        <v>119.26359149900578</v>
      </c>
      <c r="G64" s="100">
        <f t="shared" si="5"/>
        <v>92.94045530483214</v>
      </c>
      <c r="H64" s="100">
        <f t="shared" si="6"/>
        <v>26.32313619417364</v>
      </c>
      <c r="I64" s="100">
        <f t="shared" si="3"/>
        <v>5171.686783529895</v>
      </c>
      <c r="J64" s="93"/>
      <c r="K64" s="93"/>
    </row>
    <row r="65" spans="1:11" ht="12.75">
      <c r="A65" s="96">
        <f t="shared" si="4"/>
        <v>48</v>
      </c>
      <c r="B65" s="97">
        <f t="shared" si="0"/>
        <v>41640</v>
      </c>
      <c r="C65" s="100">
        <f t="shared" si="7"/>
        <v>5171.686783529895</v>
      </c>
      <c r="D65" s="100">
        <f t="shared" si="8"/>
        <v>119.26359149900578</v>
      </c>
      <c r="E65" s="101">
        <f t="shared" si="1"/>
        <v>0</v>
      </c>
      <c r="F65" s="100">
        <f t="shared" si="2"/>
        <v>119.26359149900578</v>
      </c>
      <c r="G65" s="100">
        <f t="shared" si="5"/>
        <v>93.4051575813563</v>
      </c>
      <c r="H65" s="100">
        <f t="shared" si="6"/>
        <v>25.858433917649478</v>
      </c>
      <c r="I65" s="100">
        <f t="shared" si="3"/>
        <v>5078.281625948539</v>
      </c>
      <c r="J65" s="93"/>
      <c r="K65" s="93"/>
    </row>
    <row r="66" spans="1:11" ht="12.75">
      <c r="A66" s="96">
        <f t="shared" si="4"/>
        <v>49</v>
      </c>
      <c r="B66" s="97">
        <f t="shared" si="0"/>
        <v>41671</v>
      </c>
      <c r="C66" s="100">
        <f t="shared" si="7"/>
        <v>5078.281625948539</v>
      </c>
      <c r="D66" s="100">
        <f t="shared" si="8"/>
        <v>119.26359149900578</v>
      </c>
      <c r="E66" s="101">
        <f t="shared" si="1"/>
        <v>0</v>
      </c>
      <c r="F66" s="100">
        <f t="shared" si="2"/>
        <v>119.26359149900578</v>
      </c>
      <c r="G66" s="100">
        <f t="shared" si="5"/>
        <v>93.87218336926308</v>
      </c>
      <c r="H66" s="100">
        <f t="shared" si="6"/>
        <v>25.391408129742697</v>
      </c>
      <c r="I66" s="100">
        <f t="shared" si="3"/>
        <v>4984.4094425792755</v>
      </c>
      <c r="J66" s="93"/>
      <c r="K66" s="93"/>
    </row>
    <row r="67" spans="1:11" ht="12.75">
      <c r="A67" s="96">
        <f t="shared" si="4"/>
        <v>50</v>
      </c>
      <c r="B67" s="97">
        <f t="shared" si="0"/>
        <v>41699</v>
      </c>
      <c r="C67" s="100">
        <f t="shared" si="7"/>
        <v>4984.4094425792755</v>
      </c>
      <c r="D67" s="100">
        <f t="shared" si="8"/>
        <v>119.26359149900578</v>
      </c>
      <c r="E67" s="101">
        <f t="shared" si="1"/>
        <v>0</v>
      </c>
      <c r="F67" s="100">
        <f t="shared" si="2"/>
        <v>119.26359149900578</v>
      </c>
      <c r="G67" s="100">
        <f t="shared" si="5"/>
        <v>94.34154428610941</v>
      </c>
      <c r="H67" s="100">
        <f t="shared" si="6"/>
        <v>24.922047212896377</v>
      </c>
      <c r="I67" s="100">
        <f t="shared" si="3"/>
        <v>4890.067898293166</v>
      </c>
      <c r="J67" s="93"/>
      <c r="K67" s="93"/>
    </row>
    <row r="68" spans="1:11" ht="12.75">
      <c r="A68" s="96">
        <f t="shared" si="4"/>
        <v>51</v>
      </c>
      <c r="B68" s="97">
        <f t="shared" si="0"/>
        <v>41730</v>
      </c>
      <c r="C68" s="100">
        <f t="shared" si="7"/>
        <v>4890.067898293166</v>
      </c>
      <c r="D68" s="100">
        <f t="shared" si="8"/>
        <v>119.26359149900578</v>
      </c>
      <c r="E68" s="101">
        <f t="shared" si="1"/>
        <v>0</v>
      </c>
      <c r="F68" s="100">
        <f t="shared" si="2"/>
        <v>119.26359149900578</v>
      </c>
      <c r="G68" s="100">
        <f t="shared" si="5"/>
        <v>94.81325200753996</v>
      </c>
      <c r="H68" s="100">
        <f t="shared" si="6"/>
        <v>24.45033949146583</v>
      </c>
      <c r="I68" s="100">
        <f t="shared" si="3"/>
        <v>4795.254646285626</v>
      </c>
      <c r="J68" s="93"/>
      <c r="K68" s="93"/>
    </row>
    <row r="69" spans="1:11" ht="12.75">
      <c r="A69" s="96">
        <f t="shared" si="4"/>
        <v>52</v>
      </c>
      <c r="B69" s="97">
        <f t="shared" si="0"/>
        <v>41760</v>
      </c>
      <c r="C69" s="100">
        <f t="shared" si="7"/>
        <v>4795.254646285626</v>
      </c>
      <c r="D69" s="100">
        <f t="shared" si="8"/>
        <v>119.26359149900578</v>
      </c>
      <c r="E69" s="101">
        <f t="shared" si="1"/>
        <v>0</v>
      </c>
      <c r="F69" s="100">
        <f t="shared" si="2"/>
        <v>119.26359149900578</v>
      </c>
      <c r="G69" s="100">
        <f t="shared" si="5"/>
        <v>95.28731826757766</v>
      </c>
      <c r="H69" s="100">
        <f t="shared" si="6"/>
        <v>23.976273231428127</v>
      </c>
      <c r="I69" s="100">
        <f t="shared" si="3"/>
        <v>4699.967328018049</v>
      </c>
      <c r="J69" s="93"/>
      <c r="K69" s="93"/>
    </row>
    <row r="70" spans="1:11" ht="12.75">
      <c r="A70" s="96">
        <f t="shared" si="4"/>
        <v>53</v>
      </c>
      <c r="B70" s="97">
        <f t="shared" si="0"/>
        <v>41791</v>
      </c>
      <c r="C70" s="100">
        <f t="shared" si="7"/>
        <v>4699.967328018049</v>
      </c>
      <c r="D70" s="100">
        <f t="shared" si="8"/>
        <v>119.26359149900578</v>
      </c>
      <c r="E70" s="101">
        <f t="shared" si="1"/>
        <v>0</v>
      </c>
      <c r="F70" s="100">
        <f t="shared" si="2"/>
        <v>119.26359149900578</v>
      </c>
      <c r="G70" s="100">
        <f t="shared" si="5"/>
        <v>95.76375485891555</v>
      </c>
      <c r="H70" s="100">
        <f t="shared" si="6"/>
        <v>23.49983664009024</v>
      </c>
      <c r="I70" s="100">
        <f t="shared" si="3"/>
        <v>4604.203573159133</v>
      </c>
      <c r="J70" s="93"/>
      <c r="K70" s="93"/>
    </row>
    <row r="71" spans="1:11" ht="12.75">
      <c r="A71" s="96">
        <f t="shared" si="4"/>
        <v>54</v>
      </c>
      <c r="B71" s="97">
        <f t="shared" si="0"/>
        <v>41821</v>
      </c>
      <c r="C71" s="100">
        <f t="shared" si="7"/>
        <v>4604.203573159133</v>
      </c>
      <c r="D71" s="100">
        <f t="shared" si="8"/>
        <v>119.26359149900578</v>
      </c>
      <c r="E71" s="101">
        <f t="shared" si="1"/>
        <v>0</v>
      </c>
      <c r="F71" s="100">
        <f t="shared" si="2"/>
        <v>119.26359149900578</v>
      </c>
      <c r="G71" s="100">
        <f t="shared" si="5"/>
        <v>96.24257363321011</v>
      </c>
      <c r="H71" s="100">
        <f t="shared" si="6"/>
        <v>23.021017865795667</v>
      </c>
      <c r="I71" s="100">
        <f t="shared" si="3"/>
        <v>4507.960999525923</v>
      </c>
      <c r="J71" s="93"/>
      <c r="K71" s="93"/>
    </row>
    <row r="72" spans="1:11" ht="12.75">
      <c r="A72" s="96">
        <f t="shared" si="4"/>
        <v>55</v>
      </c>
      <c r="B72" s="97">
        <f t="shared" si="0"/>
        <v>41852</v>
      </c>
      <c r="C72" s="100">
        <f t="shared" si="7"/>
        <v>4507.960999525923</v>
      </c>
      <c r="D72" s="100">
        <f t="shared" si="8"/>
        <v>119.26359149900578</v>
      </c>
      <c r="E72" s="101">
        <f t="shared" si="1"/>
        <v>0</v>
      </c>
      <c r="F72" s="100">
        <f t="shared" si="2"/>
        <v>119.26359149900578</v>
      </c>
      <c r="G72" s="100">
        <f t="shared" si="5"/>
        <v>96.72378650137617</v>
      </c>
      <c r="H72" s="100">
        <f t="shared" si="6"/>
        <v>22.539804997629616</v>
      </c>
      <c r="I72" s="100">
        <f t="shared" si="3"/>
        <v>4411.237213024548</v>
      </c>
      <c r="J72" s="93"/>
      <c r="K72" s="93"/>
    </row>
    <row r="73" spans="1:11" ht="12.75">
      <c r="A73" s="96">
        <f t="shared" si="4"/>
        <v>56</v>
      </c>
      <c r="B73" s="97">
        <f t="shared" si="0"/>
        <v>41883</v>
      </c>
      <c r="C73" s="100">
        <f t="shared" si="7"/>
        <v>4411.237213024548</v>
      </c>
      <c r="D73" s="100">
        <f t="shared" si="8"/>
        <v>119.26359149900578</v>
      </c>
      <c r="E73" s="101">
        <f t="shared" si="1"/>
        <v>0</v>
      </c>
      <c r="F73" s="100">
        <f t="shared" si="2"/>
        <v>119.26359149900578</v>
      </c>
      <c r="G73" s="100">
        <f t="shared" si="5"/>
        <v>97.20740543388305</v>
      </c>
      <c r="H73" s="100">
        <f t="shared" si="6"/>
        <v>22.056186065122734</v>
      </c>
      <c r="I73" s="100">
        <f t="shared" si="3"/>
        <v>4314.029807590665</v>
      </c>
      <c r="J73" s="93"/>
      <c r="K73" s="93"/>
    </row>
    <row r="74" spans="1:11" ht="12.75">
      <c r="A74" s="96">
        <f t="shared" si="4"/>
        <v>57</v>
      </c>
      <c r="B74" s="97">
        <f t="shared" si="0"/>
        <v>41913</v>
      </c>
      <c r="C74" s="100">
        <f t="shared" si="7"/>
        <v>4314.029807590665</v>
      </c>
      <c r="D74" s="100">
        <f t="shared" si="8"/>
        <v>119.26359149900578</v>
      </c>
      <c r="E74" s="101">
        <f t="shared" si="1"/>
        <v>0</v>
      </c>
      <c r="F74" s="100">
        <f t="shared" si="2"/>
        <v>119.26359149900578</v>
      </c>
      <c r="G74" s="100">
        <f t="shared" si="5"/>
        <v>97.69344246105246</v>
      </c>
      <c r="H74" s="100">
        <f t="shared" si="6"/>
        <v>21.570149037953325</v>
      </c>
      <c r="I74" s="100">
        <f t="shared" si="3"/>
        <v>4216.336365129612</v>
      </c>
      <c r="J74" s="93"/>
      <c r="K74" s="93"/>
    </row>
    <row r="75" spans="1:11" ht="12.75">
      <c r="A75" s="96">
        <f t="shared" si="4"/>
        <v>58</v>
      </c>
      <c r="B75" s="97">
        <f t="shared" si="0"/>
        <v>41944</v>
      </c>
      <c r="C75" s="100">
        <f t="shared" si="7"/>
        <v>4216.336365129612</v>
      </c>
      <c r="D75" s="100">
        <f t="shared" si="8"/>
        <v>119.26359149900578</v>
      </c>
      <c r="E75" s="101">
        <f t="shared" si="1"/>
        <v>0</v>
      </c>
      <c r="F75" s="100">
        <f t="shared" si="2"/>
        <v>119.26359149900578</v>
      </c>
      <c r="G75" s="100">
        <f t="shared" si="5"/>
        <v>98.18190967335772</v>
      </c>
      <c r="H75" s="100">
        <f t="shared" si="6"/>
        <v>21.081681825648058</v>
      </c>
      <c r="I75" s="100">
        <f t="shared" si="3"/>
        <v>4118.154455456254</v>
      </c>
      <c r="J75" s="93"/>
      <c r="K75" s="93"/>
    </row>
    <row r="76" spans="1:11" ht="12.75">
      <c r="A76" s="96">
        <f t="shared" si="4"/>
        <v>59</v>
      </c>
      <c r="B76" s="97">
        <f t="shared" si="0"/>
        <v>41974</v>
      </c>
      <c r="C76" s="100">
        <f t="shared" si="7"/>
        <v>4118.154455456254</v>
      </c>
      <c r="D76" s="100">
        <f t="shared" si="8"/>
        <v>119.26359149900578</v>
      </c>
      <c r="E76" s="101">
        <f t="shared" si="1"/>
        <v>0</v>
      </c>
      <c r="F76" s="100">
        <f t="shared" si="2"/>
        <v>119.26359149900578</v>
      </c>
      <c r="G76" s="100">
        <f t="shared" si="5"/>
        <v>98.67281922172451</v>
      </c>
      <c r="H76" s="100">
        <f t="shared" si="6"/>
        <v>20.59077227728127</v>
      </c>
      <c r="I76" s="100">
        <f t="shared" si="3"/>
        <v>4019.4816362345296</v>
      </c>
      <c r="J76" s="93"/>
      <c r="K76" s="93"/>
    </row>
    <row r="77" spans="1:11" ht="12.75">
      <c r="A77" s="96">
        <f t="shared" si="4"/>
        <v>60</v>
      </c>
      <c r="B77" s="97">
        <f t="shared" si="0"/>
        <v>42005</v>
      </c>
      <c r="C77" s="100">
        <f t="shared" si="7"/>
        <v>4019.4816362345296</v>
      </c>
      <c r="D77" s="100">
        <f t="shared" si="8"/>
        <v>119.26359149900578</v>
      </c>
      <c r="E77" s="101">
        <f t="shared" si="1"/>
        <v>0</v>
      </c>
      <c r="F77" s="100">
        <f t="shared" si="2"/>
        <v>119.26359149900578</v>
      </c>
      <c r="G77" s="100">
        <f t="shared" si="5"/>
        <v>99.16618331783314</v>
      </c>
      <c r="H77" s="100">
        <f t="shared" si="6"/>
        <v>20.097408181172646</v>
      </c>
      <c r="I77" s="100">
        <f t="shared" si="3"/>
        <v>3920.3154529166964</v>
      </c>
      <c r="J77" s="93"/>
      <c r="K77" s="93"/>
    </row>
    <row r="78" spans="1:11" ht="12.75">
      <c r="A78" s="96">
        <f t="shared" si="4"/>
        <v>61</v>
      </c>
      <c r="B78" s="97">
        <f t="shared" si="0"/>
        <v>42036</v>
      </c>
      <c r="C78" s="100">
        <f t="shared" si="7"/>
        <v>3920.3154529166964</v>
      </c>
      <c r="D78" s="100">
        <f t="shared" si="8"/>
        <v>119.26359149900578</v>
      </c>
      <c r="E78" s="101">
        <f t="shared" si="1"/>
        <v>0</v>
      </c>
      <c r="F78" s="100">
        <f t="shared" si="2"/>
        <v>119.26359149900578</v>
      </c>
      <c r="G78" s="100">
        <f t="shared" si="5"/>
        <v>99.6620142344223</v>
      </c>
      <c r="H78" s="100">
        <f t="shared" si="6"/>
        <v>19.60157726458348</v>
      </c>
      <c r="I78" s="100">
        <f t="shared" si="3"/>
        <v>3820.653438682274</v>
      </c>
      <c r="J78" s="93"/>
      <c r="K78" s="93"/>
    </row>
    <row r="79" spans="1:11" ht="12.75">
      <c r="A79" s="96">
        <f t="shared" si="4"/>
        <v>62</v>
      </c>
      <c r="B79" s="97">
        <f t="shared" si="0"/>
        <v>42064</v>
      </c>
      <c r="C79" s="100">
        <f t="shared" si="7"/>
        <v>3820.653438682274</v>
      </c>
      <c r="D79" s="100">
        <f t="shared" si="8"/>
        <v>119.26359149900578</v>
      </c>
      <c r="E79" s="101">
        <f t="shared" si="1"/>
        <v>0</v>
      </c>
      <c r="F79" s="100">
        <f t="shared" si="2"/>
        <v>119.26359149900578</v>
      </c>
      <c r="G79" s="100">
        <f t="shared" si="5"/>
        <v>100.16032430559441</v>
      </c>
      <c r="H79" s="100">
        <f t="shared" si="6"/>
        <v>19.10326719341137</v>
      </c>
      <c r="I79" s="100">
        <f t="shared" si="3"/>
        <v>3720.49311437668</v>
      </c>
      <c r="J79" s="93"/>
      <c r="K79" s="93"/>
    </row>
    <row r="80" spans="1:11" ht="12.75">
      <c r="A80" s="96">
        <f t="shared" si="4"/>
        <v>63</v>
      </c>
      <c r="B80" s="97">
        <f t="shared" si="0"/>
        <v>42095</v>
      </c>
      <c r="C80" s="100">
        <f t="shared" si="7"/>
        <v>3720.49311437668</v>
      </c>
      <c r="D80" s="100">
        <f t="shared" si="8"/>
        <v>119.26359149900578</v>
      </c>
      <c r="E80" s="101">
        <f t="shared" si="1"/>
        <v>0</v>
      </c>
      <c r="F80" s="100">
        <f t="shared" si="2"/>
        <v>119.26359149900578</v>
      </c>
      <c r="G80" s="100">
        <f t="shared" si="5"/>
        <v>100.66112592712238</v>
      </c>
      <c r="H80" s="100">
        <f t="shared" si="6"/>
        <v>18.602465571883396</v>
      </c>
      <c r="I80" s="100">
        <f t="shared" si="3"/>
        <v>3619.8319884495577</v>
      </c>
      <c r="J80" s="93"/>
      <c r="K80" s="93"/>
    </row>
    <row r="81" spans="1:11" ht="12.75">
      <c r="A81" s="96">
        <f t="shared" si="4"/>
        <v>64</v>
      </c>
      <c r="B81" s="97">
        <f t="shared" si="0"/>
        <v>42125</v>
      </c>
      <c r="C81" s="100">
        <f t="shared" si="7"/>
        <v>3619.8319884495577</v>
      </c>
      <c r="D81" s="100">
        <f t="shared" si="8"/>
        <v>119.26359149900578</v>
      </c>
      <c r="E81" s="101">
        <f t="shared" si="1"/>
        <v>0</v>
      </c>
      <c r="F81" s="100">
        <f t="shared" si="2"/>
        <v>119.26359149900578</v>
      </c>
      <c r="G81" s="100">
        <f t="shared" si="5"/>
        <v>101.16443155675799</v>
      </c>
      <c r="H81" s="100">
        <f t="shared" si="6"/>
        <v>18.099159942247788</v>
      </c>
      <c r="I81" s="100">
        <f t="shared" si="3"/>
        <v>3518.6675568928</v>
      </c>
      <c r="J81" s="93"/>
      <c r="K81" s="93"/>
    </row>
    <row r="82" spans="1:11" ht="12.75">
      <c r="A82" s="96">
        <f t="shared" si="4"/>
        <v>65</v>
      </c>
      <c r="B82" s="97">
        <f aca="true" t="shared" si="9" ref="B82:B145">IF(Pay_Num&lt;&gt;"",DATE(YEAR(Loan_Start),MONTH(Loan_Start)+(Pay_Num)*12/Num_Pmt_Per_Year,DAY(Loan_Start)),"")</f>
        <v>42156</v>
      </c>
      <c r="C82" s="100">
        <f t="shared" si="7"/>
        <v>3518.6675568928</v>
      </c>
      <c r="D82" s="100">
        <f t="shared" si="8"/>
        <v>119.26359149900578</v>
      </c>
      <c r="E82" s="101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100">
        <f aca="true" t="shared" si="11" ref="F82:F145">IF(AND(Pay_Num&lt;&gt;"",Sched_Pay+Extra_Pay&lt;Beg_Bal),Sched_Pay+Extra_Pay,IF(Pay_Num&lt;&gt;"",Beg_Bal,""))</f>
        <v>119.26359149900578</v>
      </c>
      <c r="G82" s="100">
        <f t="shared" si="5"/>
        <v>101.67025371454179</v>
      </c>
      <c r="H82" s="100">
        <f t="shared" si="6"/>
        <v>17.593337784463998</v>
      </c>
      <c r="I82" s="100">
        <f aca="true" t="shared" si="12" ref="I82:I145">IF(AND(Pay_Num&lt;&gt;"",Sched_Pay+Extra_Pay&lt;Beg_Bal),Beg_Bal-Princ,IF(Pay_Num&lt;&gt;"",0,""))</f>
        <v>3416.9973031782583</v>
      </c>
      <c r="J82" s="93"/>
      <c r="K82" s="93"/>
    </row>
    <row r="83" spans="1:11" ht="12.75">
      <c r="A83" s="96">
        <f aca="true" t="shared" si="13" ref="A83:A146">IF(Values_Entered,A82+1,"")</f>
        <v>66</v>
      </c>
      <c r="B83" s="97">
        <f t="shared" si="9"/>
        <v>42186</v>
      </c>
      <c r="C83" s="100">
        <f t="shared" si="7"/>
        <v>3416.9973031782583</v>
      </c>
      <c r="D83" s="100">
        <f t="shared" si="8"/>
        <v>119.26359149900578</v>
      </c>
      <c r="E83" s="101">
        <f t="shared" si="10"/>
        <v>0</v>
      </c>
      <c r="F83" s="100">
        <f t="shared" si="11"/>
        <v>119.26359149900578</v>
      </c>
      <c r="G83" s="100">
        <f aca="true" t="shared" si="14" ref="G83:G146">IF(Pay_Num&lt;&gt;"",Total_Pay-Int,"")</f>
        <v>102.1786049831145</v>
      </c>
      <c r="H83" s="100">
        <f aca="true" t="shared" si="15" ref="H83:H146">IF(Pay_Num&lt;&gt;"",Beg_Bal*Interest_Rate/Num_Pmt_Per_Year,"")</f>
        <v>17.08498651589129</v>
      </c>
      <c r="I83" s="100">
        <f t="shared" si="12"/>
        <v>3314.818698195144</v>
      </c>
      <c r="J83" s="93"/>
      <c r="K83" s="93"/>
    </row>
    <row r="84" spans="1:11" ht="12.75">
      <c r="A84" s="96">
        <f t="shared" si="13"/>
        <v>67</v>
      </c>
      <c r="B84" s="97">
        <f t="shared" si="9"/>
        <v>42217</v>
      </c>
      <c r="C84" s="100">
        <f aca="true" t="shared" si="16" ref="C84:C147">IF(Pay_Num&lt;&gt;"",I83,"")</f>
        <v>3314.818698195144</v>
      </c>
      <c r="D84" s="100">
        <f aca="true" t="shared" si="17" ref="D84:D147">IF(Pay_Num&lt;&gt;"",Scheduled_Monthly_Payment,"")</f>
        <v>119.26359149900578</v>
      </c>
      <c r="E84" s="101">
        <f t="shared" si="10"/>
        <v>0</v>
      </c>
      <c r="F84" s="100">
        <f t="shared" si="11"/>
        <v>119.26359149900578</v>
      </c>
      <c r="G84" s="100">
        <f t="shared" si="14"/>
        <v>102.68949800803006</v>
      </c>
      <c r="H84" s="100">
        <f t="shared" si="15"/>
        <v>16.57409349097572</v>
      </c>
      <c r="I84" s="100">
        <f t="shared" si="12"/>
        <v>3212.129200187114</v>
      </c>
      <c r="J84" s="93"/>
      <c r="K84" s="93"/>
    </row>
    <row r="85" spans="1:11" ht="12.75">
      <c r="A85" s="96">
        <f t="shared" si="13"/>
        <v>68</v>
      </c>
      <c r="B85" s="97">
        <f t="shared" si="9"/>
        <v>42248</v>
      </c>
      <c r="C85" s="100">
        <f t="shared" si="16"/>
        <v>3212.129200187114</v>
      </c>
      <c r="D85" s="100">
        <f t="shared" si="17"/>
        <v>119.26359149900578</v>
      </c>
      <c r="E85" s="101">
        <f t="shared" si="10"/>
        <v>0</v>
      </c>
      <c r="F85" s="100">
        <f t="shared" si="11"/>
        <v>119.26359149900578</v>
      </c>
      <c r="G85" s="100">
        <f t="shared" si="14"/>
        <v>103.20294549807022</v>
      </c>
      <c r="H85" s="100">
        <f t="shared" si="15"/>
        <v>16.060646000935566</v>
      </c>
      <c r="I85" s="100">
        <f t="shared" si="12"/>
        <v>3108.9262546890436</v>
      </c>
      <c r="J85" s="93"/>
      <c r="K85" s="93"/>
    </row>
    <row r="86" spans="1:11" ht="12.75">
      <c r="A86" s="96">
        <f t="shared" si="13"/>
        <v>69</v>
      </c>
      <c r="B86" s="97">
        <f t="shared" si="9"/>
        <v>42278</v>
      </c>
      <c r="C86" s="100">
        <f t="shared" si="16"/>
        <v>3108.9262546890436</v>
      </c>
      <c r="D86" s="100">
        <f t="shared" si="17"/>
        <v>119.26359149900578</v>
      </c>
      <c r="E86" s="101">
        <f t="shared" si="10"/>
        <v>0</v>
      </c>
      <c r="F86" s="100">
        <f t="shared" si="11"/>
        <v>119.26359149900578</v>
      </c>
      <c r="G86" s="100">
        <f t="shared" si="14"/>
        <v>103.71896022556056</v>
      </c>
      <c r="H86" s="100">
        <f t="shared" si="15"/>
        <v>15.544631273445217</v>
      </c>
      <c r="I86" s="100">
        <f t="shared" si="12"/>
        <v>3005.207294463483</v>
      </c>
      <c r="J86" s="93"/>
      <c r="K86" s="93"/>
    </row>
    <row r="87" spans="1:11" ht="12.75">
      <c r="A87" s="96">
        <f t="shared" si="13"/>
        <v>70</v>
      </c>
      <c r="B87" s="97">
        <f t="shared" si="9"/>
        <v>42309</v>
      </c>
      <c r="C87" s="100">
        <f t="shared" si="16"/>
        <v>3005.207294463483</v>
      </c>
      <c r="D87" s="100">
        <f t="shared" si="17"/>
        <v>119.26359149900578</v>
      </c>
      <c r="E87" s="101">
        <f t="shared" si="10"/>
        <v>0</v>
      </c>
      <c r="F87" s="100">
        <f t="shared" si="11"/>
        <v>119.26359149900578</v>
      </c>
      <c r="G87" s="100">
        <f t="shared" si="14"/>
        <v>104.23755502668837</v>
      </c>
      <c r="H87" s="100">
        <f t="shared" si="15"/>
        <v>15.026036472317415</v>
      </c>
      <c r="I87" s="100">
        <f t="shared" si="12"/>
        <v>2900.9697394367945</v>
      </c>
      <c r="J87" s="93"/>
      <c r="K87" s="93"/>
    </row>
    <row r="88" spans="1:11" ht="12.75">
      <c r="A88" s="96">
        <f t="shared" si="13"/>
        <v>71</v>
      </c>
      <c r="B88" s="97">
        <f t="shared" si="9"/>
        <v>42339</v>
      </c>
      <c r="C88" s="100">
        <f t="shared" si="16"/>
        <v>2900.9697394367945</v>
      </c>
      <c r="D88" s="100">
        <f t="shared" si="17"/>
        <v>119.26359149900578</v>
      </c>
      <c r="E88" s="101">
        <f t="shared" si="10"/>
        <v>0</v>
      </c>
      <c r="F88" s="100">
        <f t="shared" si="11"/>
        <v>119.26359149900578</v>
      </c>
      <c r="G88" s="100">
        <f t="shared" si="14"/>
        <v>104.75874280182181</v>
      </c>
      <c r="H88" s="100">
        <f t="shared" si="15"/>
        <v>14.504848697183972</v>
      </c>
      <c r="I88" s="100">
        <f t="shared" si="12"/>
        <v>2796.2109966349726</v>
      </c>
      <c r="J88" s="93"/>
      <c r="K88" s="93"/>
    </row>
    <row r="89" spans="1:11" ht="12.75">
      <c r="A89" s="96">
        <f t="shared" si="13"/>
        <v>72</v>
      </c>
      <c r="B89" s="97">
        <f t="shared" si="9"/>
        <v>42370</v>
      </c>
      <c r="C89" s="100">
        <f t="shared" si="16"/>
        <v>2796.2109966349726</v>
      </c>
      <c r="D89" s="100">
        <f t="shared" si="17"/>
        <v>119.26359149900578</v>
      </c>
      <c r="E89" s="101">
        <f t="shared" si="10"/>
        <v>0</v>
      </c>
      <c r="F89" s="100">
        <f t="shared" si="11"/>
        <v>119.26359149900578</v>
      </c>
      <c r="G89" s="100">
        <f t="shared" si="14"/>
        <v>105.28253651583093</v>
      </c>
      <c r="H89" s="100">
        <f t="shared" si="15"/>
        <v>13.981054983174863</v>
      </c>
      <c r="I89" s="100">
        <f t="shared" si="12"/>
        <v>2690.9284601191416</v>
      </c>
      <c r="J89" s="93"/>
      <c r="K89" s="93"/>
    </row>
    <row r="90" spans="1:11" ht="12.75">
      <c r="A90" s="96">
        <f t="shared" si="13"/>
        <v>73</v>
      </c>
      <c r="B90" s="97">
        <f t="shared" si="9"/>
        <v>42401</v>
      </c>
      <c r="C90" s="100">
        <f t="shared" si="16"/>
        <v>2690.9284601191416</v>
      </c>
      <c r="D90" s="100">
        <f t="shared" si="17"/>
        <v>119.26359149900578</v>
      </c>
      <c r="E90" s="101">
        <f t="shared" si="10"/>
        <v>0</v>
      </c>
      <c r="F90" s="100">
        <f t="shared" si="11"/>
        <v>119.26359149900578</v>
      </c>
      <c r="G90" s="100">
        <f t="shared" si="14"/>
        <v>105.80894919841008</v>
      </c>
      <c r="H90" s="100">
        <f t="shared" si="15"/>
        <v>13.454642300595708</v>
      </c>
      <c r="I90" s="100">
        <f t="shared" si="12"/>
        <v>2585.1195109207315</v>
      </c>
      <c r="J90" s="93"/>
      <c r="K90" s="93"/>
    </row>
    <row r="91" spans="1:11" ht="12.75">
      <c r="A91" s="96">
        <f t="shared" si="13"/>
        <v>74</v>
      </c>
      <c r="B91" s="97">
        <f t="shared" si="9"/>
        <v>42430</v>
      </c>
      <c r="C91" s="100">
        <f t="shared" si="16"/>
        <v>2585.1195109207315</v>
      </c>
      <c r="D91" s="100">
        <f t="shared" si="17"/>
        <v>119.26359149900578</v>
      </c>
      <c r="E91" s="101">
        <f t="shared" si="10"/>
        <v>0</v>
      </c>
      <c r="F91" s="100">
        <f t="shared" si="11"/>
        <v>119.26359149900578</v>
      </c>
      <c r="G91" s="100">
        <f t="shared" si="14"/>
        <v>106.33799394440213</v>
      </c>
      <c r="H91" s="100">
        <f t="shared" si="15"/>
        <v>12.925597554603657</v>
      </c>
      <c r="I91" s="100">
        <f t="shared" si="12"/>
        <v>2478.7815169763294</v>
      </c>
      <c r="J91" s="93"/>
      <c r="K91" s="93"/>
    </row>
    <row r="92" spans="1:11" ht="12.75">
      <c r="A92" s="96">
        <f t="shared" si="13"/>
        <v>75</v>
      </c>
      <c r="B92" s="97">
        <f t="shared" si="9"/>
        <v>42461</v>
      </c>
      <c r="C92" s="100">
        <f t="shared" si="16"/>
        <v>2478.7815169763294</v>
      </c>
      <c r="D92" s="100">
        <f t="shared" si="17"/>
        <v>119.26359149900578</v>
      </c>
      <c r="E92" s="101">
        <f t="shared" si="10"/>
        <v>0</v>
      </c>
      <c r="F92" s="100">
        <f t="shared" si="11"/>
        <v>119.26359149900578</v>
      </c>
      <c r="G92" s="100">
        <f t="shared" si="14"/>
        <v>106.86968391412414</v>
      </c>
      <c r="H92" s="100">
        <f t="shared" si="15"/>
        <v>12.393907584881646</v>
      </c>
      <c r="I92" s="100">
        <f t="shared" si="12"/>
        <v>2371.9118330622055</v>
      </c>
      <c r="J92" s="93"/>
      <c r="K92" s="93"/>
    </row>
    <row r="93" spans="1:11" ht="12.75">
      <c r="A93" s="96">
        <f t="shared" si="13"/>
        <v>76</v>
      </c>
      <c r="B93" s="97">
        <f t="shared" si="9"/>
        <v>42491</v>
      </c>
      <c r="C93" s="100">
        <f t="shared" si="16"/>
        <v>2371.9118330622055</v>
      </c>
      <c r="D93" s="100">
        <f t="shared" si="17"/>
        <v>119.26359149900578</v>
      </c>
      <c r="E93" s="101">
        <f t="shared" si="10"/>
        <v>0</v>
      </c>
      <c r="F93" s="100">
        <f t="shared" si="11"/>
        <v>119.26359149900578</v>
      </c>
      <c r="G93" s="100">
        <f t="shared" si="14"/>
        <v>107.40403233369476</v>
      </c>
      <c r="H93" s="100">
        <f t="shared" si="15"/>
        <v>11.859559165311026</v>
      </c>
      <c r="I93" s="100">
        <f t="shared" si="12"/>
        <v>2264.5078007285106</v>
      </c>
      <c r="J93" s="93"/>
      <c r="K93" s="93"/>
    </row>
    <row r="94" spans="1:11" ht="12.75">
      <c r="A94" s="96">
        <f t="shared" si="13"/>
        <v>77</v>
      </c>
      <c r="B94" s="97">
        <f t="shared" si="9"/>
        <v>42522</v>
      </c>
      <c r="C94" s="100">
        <f t="shared" si="16"/>
        <v>2264.5078007285106</v>
      </c>
      <c r="D94" s="100">
        <f t="shared" si="17"/>
        <v>119.26359149900578</v>
      </c>
      <c r="E94" s="101">
        <f t="shared" si="10"/>
        <v>0</v>
      </c>
      <c r="F94" s="100">
        <f t="shared" si="11"/>
        <v>119.26359149900578</v>
      </c>
      <c r="G94" s="100">
        <f t="shared" si="14"/>
        <v>107.94105249536324</v>
      </c>
      <c r="H94" s="100">
        <f t="shared" si="15"/>
        <v>11.322539003642552</v>
      </c>
      <c r="I94" s="100">
        <f t="shared" si="12"/>
        <v>2156.5667482331473</v>
      </c>
      <c r="J94" s="93"/>
      <c r="K94" s="93"/>
    </row>
    <row r="95" spans="1:11" ht="12.75">
      <c r="A95" s="96">
        <f t="shared" si="13"/>
        <v>78</v>
      </c>
      <c r="B95" s="97">
        <f t="shared" si="9"/>
        <v>42552</v>
      </c>
      <c r="C95" s="100">
        <f t="shared" si="16"/>
        <v>2156.5667482331473</v>
      </c>
      <c r="D95" s="100">
        <f t="shared" si="17"/>
        <v>119.26359149900578</v>
      </c>
      <c r="E95" s="101">
        <f t="shared" si="10"/>
        <v>0</v>
      </c>
      <c r="F95" s="100">
        <f t="shared" si="11"/>
        <v>119.26359149900578</v>
      </c>
      <c r="G95" s="100">
        <f t="shared" si="14"/>
        <v>108.48075775784005</v>
      </c>
      <c r="H95" s="100">
        <f t="shared" si="15"/>
        <v>10.782833741165737</v>
      </c>
      <c r="I95" s="100">
        <f t="shared" si="12"/>
        <v>2048.0859904753074</v>
      </c>
      <c r="J95" s="93"/>
      <c r="K95" s="93"/>
    </row>
    <row r="96" spans="1:11" ht="12.75">
      <c r="A96" s="96">
        <f t="shared" si="13"/>
        <v>79</v>
      </c>
      <c r="B96" s="97">
        <f t="shared" si="9"/>
        <v>42583</v>
      </c>
      <c r="C96" s="100">
        <f t="shared" si="16"/>
        <v>2048.0859904753074</v>
      </c>
      <c r="D96" s="100">
        <f t="shared" si="17"/>
        <v>119.26359149900578</v>
      </c>
      <c r="E96" s="101">
        <f t="shared" si="10"/>
        <v>0</v>
      </c>
      <c r="F96" s="100">
        <f t="shared" si="11"/>
        <v>119.26359149900578</v>
      </c>
      <c r="G96" s="100">
        <f t="shared" si="14"/>
        <v>109.02316154662925</v>
      </c>
      <c r="H96" s="100">
        <f t="shared" si="15"/>
        <v>10.240429952376536</v>
      </c>
      <c r="I96" s="100">
        <f t="shared" si="12"/>
        <v>1939.062828928678</v>
      </c>
      <c r="J96" s="93"/>
      <c r="K96" s="93"/>
    </row>
    <row r="97" spans="1:11" ht="12.75">
      <c r="A97" s="96">
        <f t="shared" si="13"/>
        <v>80</v>
      </c>
      <c r="B97" s="97">
        <f t="shared" si="9"/>
        <v>42614</v>
      </c>
      <c r="C97" s="100">
        <f t="shared" si="16"/>
        <v>1939.062828928678</v>
      </c>
      <c r="D97" s="100">
        <f t="shared" si="17"/>
        <v>119.26359149900578</v>
      </c>
      <c r="E97" s="101">
        <f t="shared" si="10"/>
        <v>0</v>
      </c>
      <c r="F97" s="100">
        <f t="shared" si="11"/>
        <v>119.26359149900578</v>
      </c>
      <c r="G97" s="100">
        <f t="shared" si="14"/>
        <v>109.5682773543624</v>
      </c>
      <c r="H97" s="100">
        <f t="shared" si="15"/>
        <v>9.69531414464339</v>
      </c>
      <c r="I97" s="100">
        <f t="shared" si="12"/>
        <v>1829.4945515743157</v>
      </c>
      <c r="J97" s="93"/>
      <c r="K97" s="93"/>
    </row>
    <row r="98" spans="1:11" ht="12.75">
      <c r="A98" s="96">
        <f t="shared" si="13"/>
        <v>81</v>
      </c>
      <c r="B98" s="97">
        <f t="shared" si="9"/>
        <v>42644</v>
      </c>
      <c r="C98" s="100">
        <f t="shared" si="16"/>
        <v>1829.4945515743157</v>
      </c>
      <c r="D98" s="100">
        <f t="shared" si="17"/>
        <v>119.26359149900578</v>
      </c>
      <c r="E98" s="101">
        <f t="shared" si="10"/>
        <v>0</v>
      </c>
      <c r="F98" s="100">
        <f t="shared" si="11"/>
        <v>119.26359149900578</v>
      </c>
      <c r="G98" s="100">
        <f t="shared" si="14"/>
        <v>110.1161187411342</v>
      </c>
      <c r="H98" s="100">
        <f t="shared" si="15"/>
        <v>9.147472757871578</v>
      </c>
      <c r="I98" s="100">
        <f t="shared" si="12"/>
        <v>1719.3784328331815</v>
      </c>
      <c r="J98" s="93"/>
      <c r="K98" s="93"/>
    </row>
    <row r="99" spans="1:11" ht="12.75">
      <c r="A99" s="96">
        <f t="shared" si="13"/>
        <v>82</v>
      </c>
      <c r="B99" s="97">
        <f t="shared" si="9"/>
        <v>42675</v>
      </c>
      <c r="C99" s="100">
        <f t="shared" si="16"/>
        <v>1719.3784328331815</v>
      </c>
      <c r="D99" s="100">
        <f t="shared" si="17"/>
        <v>119.26359149900578</v>
      </c>
      <c r="E99" s="101">
        <f t="shared" si="10"/>
        <v>0</v>
      </c>
      <c r="F99" s="100">
        <f t="shared" si="11"/>
        <v>119.26359149900578</v>
      </c>
      <c r="G99" s="100">
        <f t="shared" si="14"/>
        <v>110.66669933483988</v>
      </c>
      <c r="H99" s="100">
        <f t="shared" si="15"/>
        <v>8.596892164165906</v>
      </c>
      <c r="I99" s="100">
        <f t="shared" si="12"/>
        <v>1608.7117334983416</v>
      </c>
      <c r="J99" s="93"/>
      <c r="K99" s="93"/>
    </row>
    <row r="100" spans="1:11" ht="12.75">
      <c r="A100" s="96">
        <f t="shared" si="13"/>
        <v>83</v>
      </c>
      <c r="B100" s="97">
        <f t="shared" si="9"/>
        <v>42705</v>
      </c>
      <c r="C100" s="100">
        <f t="shared" si="16"/>
        <v>1608.7117334983416</v>
      </c>
      <c r="D100" s="100">
        <f t="shared" si="17"/>
        <v>119.26359149900578</v>
      </c>
      <c r="E100" s="101">
        <f t="shared" si="10"/>
        <v>0</v>
      </c>
      <c r="F100" s="100">
        <f t="shared" si="11"/>
        <v>119.26359149900578</v>
      </c>
      <c r="G100" s="100">
        <f t="shared" si="14"/>
        <v>111.22003283151408</v>
      </c>
      <c r="H100" s="100">
        <f t="shared" si="15"/>
        <v>8.043558667491707</v>
      </c>
      <c r="I100" s="100">
        <f t="shared" si="12"/>
        <v>1497.4917006668275</v>
      </c>
      <c r="J100" s="93"/>
      <c r="K100" s="93"/>
    </row>
    <row r="101" spans="1:11" ht="12.75">
      <c r="A101" s="96">
        <f t="shared" si="13"/>
        <v>84</v>
      </c>
      <c r="B101" s="97">
        <f t="shared" si="9"/>
        <v>42736</v>
      </c>
      <c r="C101" s="100">
        <f t="shared" si="16"/>
        <v>1497.4917006668275</v>
      </c>
      <c r="D101" s="100">
        <f t="shared" si="17"/>
        <v>119.26359149900578</v>
      </c>
      <c r="E101" s="101">
        <f t="shared" si="10"/>
        <v>0</v>
      </c>
      <c r="F101" s="100">
        <f t="shared" si="11"/>
        <v>119.26359149900578</v>
      </c>
      <c r="G101" s="100">
        <f t="shared" si="14"/>
        <v>111.77613299567165</v>
      </c>
      <c r="H101" s="100">
        <f t="shared" si="15"/>
        <v>7.487458503334136</v>
      </c>
      <c r="I101" s="100">
        <f t="shared" si="12"/>
        <v>1385.715567671156</v>
      </c>
      <c r="J101" s="93"/>
      <c r="K101" s="93"/>
    </row>
    <row r="102" spans="1:11" ht="12.75">
      <c r="A102" s="96">
        <f t="shared" si="13"/>
        <v>85</v>
      </c>
      <c r="B102" s="97">
        <f t="shared" si="9"/>
        <v>42767</v>
      </c>
      <c r="C102" s="100">
        <f t="shared" si="16"/>
        <v>1385.715567671156</v>
      </c>
      <c r="D102" s="100">
        <f t="shared" si="17"/>
        <v>119.26359149900578</v>
      </c>
      <c r="E102" s="101">
        <f t="shared" si="10"/>
        <v>0</v>
      </c>
      <c r="F102" s="100">
        <f t="shared" si="11"/>
        <v>119.26359149900578</v>
      </c>
      <c r="G102" s="100">
        <f t="shared" si="14"/>
        <v>112.33501366065</v>
      </c>
      <c r="H102" s="100">
        <f t="shared" si="15"/>
        <v>6.928577838355779</v>
      </c>
      <c r="I102" s="100">
        <f t="shared" si="12"/>
        <v>1273.3805540105059</v>
      </c>
      <c r="J102" s="93"/>
      <c r="K102" s="93"/>
    </row>
    <row r="103" spans="1:11" ht="12.75">
      <c r="A103" s="96">
        <f t="shared" si="13"/>
        <v>86</v>
      </c>
      <c r="B103" s="97">
        <f t="shared" si="9"/>
        <v>42795</v>
      </c>
      <c r="C103" s="100">
        <f t="shared" si="16"/>
        <v>1273.3805540105059</v>
      </c>
      <c r="D103" s="100">
        <f t="shared" si="17"/>
        <v>119.26359149900578</v>
      </c>
      <c r="E103" s="101">
        <f t="shared" si="10"/>
        <v>0</v>
      </c>
      <c r="F103" s="100">
        <f t="shared" si="11"/>
        <v>119.26359149900578</v>
      </c>
      <c r="G103" s="100">
        <f t="shared" si="14"/>
        <v>112.89668872895325</v>
      </c>
      <c r="H103" s="100">
        <f t="shared" si="15"/>
        <v>6.366902770052529</v>
      </c>
      <c r="I103" s="100">
        <f t="shared" si="12"/>
        <v>1160.4838652815527</v>
      </c>
      <c r="J103" s="93"/>
      <c r="K103" s="93"/>
    </row>
    <row r="104" spans="1:11" ht="12.75">
      <c r="A104" s="96">
        <f t="shared" si="13"/>
        <v>87</v>
      </c>
      <c r="B104" s="97">
        <f t="shared" si="9"/>
        <v>42826</v>
      </c>
      <c r="C104" s="100">
        <f t="shared" si="16"/>
        <v>1160.4838652815527</v>
      </c>
      <c r="D104" s="100">
        <f t="shared" si="17"/>
        <v>119.26359149900578</v>
      </c>
      <c r="E104" s="101">
        <f t="shared" si="10"/>
        <v>0</v>
      </c>
      <c r="F104" s="100">
        <f t="shared" si="11"/>
        <v>119.26359149900578</v>
      </c>
      <c r="G104" s="100">
        <f t="shared" si="14"/>
        <v>113.46117217259803</v>
      </c>
      <c r="H104" s="100">
        <f t="shared" si="15"/>
        <v>5.802419326407763</v>
      </c>
      <c r="I104" s="100">
        <f t="shared" si="12"/>
        <v>1047.0226931089546</v>
      </c>
      <c r="J104" s="93"/>
      <c r="K104" s="93"/>
    </row>
    <row r="105" spans="1:11" ht="12.75">
      <c r="A105" s="96">
        <f t="shared" si="13"/>
        <v>88</v>
      </c>
      <c r="B105" s="97">
        <f t="shared" si="9"/>
        <v>42856</v>
      </c>
      <c r="C105" s="100">
        <f t="shared" si="16"/>
        <v>1047.0226931089546</v>
      </c>
      <c r="D105" s="100">
        <f t="shared" si="17"/>
        <v>119.26359149900578</v>
      </c>
      <c r="E105" s="101">
        <f t="shared" si="10"/>
        <v>0</v>
      </c>
      <c r="F105" s="100">
        <f t="shared" si="11"/>
        <v>119.26359149900578</v>
      </c>
      <c r="G105" s="100">
        <f t="shared" si="14"/>
        <v>114.02847803346101</v>
      </c>
      <c r="H105" s="100">
        <f t="shared" si="15"/>
        <v>5.2351134655447735</v>
      </c>
      <c r="I105" s="100">
        <f t="shared" si="12"/>
        <v>932.9942150754936</v>
      </c>
      <c r="J105" s="93"/>
      <c r="K105" s="93"/>
    </row>
    <row r="106" spans="1:11" ht="12.75">
      <c r="A106" s="96">
        <f t="shared" si="13"/>
        <v>89</v>
      </c>
      <c r="B106" s="97">
        <f t="shared" si="9"/>
        <v>42887</v>
      </c>
      <c r="C106" s="100">
        <f t="shared" si="16"/>
        <v>932.9942150754936</v>
      </c>
      <c r="D106" s="100">
        <f t="shared" si="17"/>
        <v>119.26359149900578</v>
      </c>
      <c r="E106" s="101">
        <f t="shared" si="10"/>
        <v>0</v>
      </c>
      <c r="F106" s="100">
        <f t="shared" si="11"/>
        <v>119.26359149900578</v>
      </c>
      <c r="G106" s="100">
        <f t="shared" si="14"/>
        <v>114.59862042362832</v>
      </c>
      <c r="H106" s="100">
        <f t="shared" si="15"/>
        <v>4.664971075377468</v>
      </c>
      <c r="I106" s="100">
        <f t="shared" si="12"/>
        <v>818.3955946518653</v>
      </c>
      <c r="J106" s="93"/>
      <c r="K106" s="93"/>
    </row>
    <row r="107" spans="1:11" ht="12.75">
      <c r="A107" s="96">
        <f t="shared" si="13"/>
        <v>90</v>
      </c>
      <c r="B107" s="97">
        <f t="shared" si="9"/>
        <v>42917</v>
      </c>
      <c r="C107" s="100">
        <f t="shared" si="16"/>
        <v>818.3955946518653</v>
      </c>
      <c r="D107" s="100">
        <f t="shared" si="17"/>
        <v>119.26359149900578</v>
      </c>
      <c r="E107" s="101">
        <f t="shared" si="10"/>
        <v>0</v>
      </c>
      <c r="F107" s="100">
        <f t="shared" si="11"/>
        <v>119.26359149900578</v>
      </c>
      <c r="G107" s="100">
        <f t="shared" si="14"/>
        <v>115.17161352574645</v>
      </c>
      <c r="H107" s="100">
        <f t="shared" si="15"/>
        <v>4.091977973259326</v>
      </c>
      <c r="I107" s="100">
        <f t="shared" si="12"/>
        <v>703.2239811261188</v>
      </c>
      <c r="J107" s="93"/>
      <c r="K107" s="93"/>
    </row>
    <row r="108" spans="1:11" ht="12.75">
      <c r="A108" s="96">
        <f t="shared" si="13"/>
        <v>91</v>
      </c>
      <c r="B108" s="97">
        <f t="shared" si="9"/>
        <v>42948</v>
      </c>
      <c r="C108" s="100">
        <f t="shared" si="16"/>
        <v>703.2239811261188</v>
      </c>
      <c r="D108" s="100">
        <f t="shared" si="17"/>
        <v>119.26359149900578</v>
      </c>
      <c r="E108" s="101">
        <f t="shared" si="10"/>
        <v>0</v>
      </c>
      <c r="F108" s="100">
        <f t="shared" si="11"/>
        <v>119.26359149900578</v>
      </c>
      <c r="G108" s="100">
        <f t="shared" si="14"/>
        <v>115.7474715933752</v>
      </c>
      <c r="H108" s="100">
        <f t="shared" si="15"/>
        <v>3.516119905630594</v>
      </c>
      <c r="I108" s="100">
        <f t="shared" si="12"/>
        <v>587.4765095327436</v>
      </c>
      <c r="J108" s="93"/>
      <c r="K108" s="93"/>
    </row>
    <row r="109" spans="1:11" ht="12.75">
      <c r="A109" s="96">
        <f t="shared" si="13"/>
        <v>92</v>
      </c>
      <c r="B109" s="97">
        <f t="shared" si="9"/>
        <v>42979</v>
      </c>
      <c r="C109" s="100">
        <f t="shared" si="16"/>
        <v>587.4765095327436</v>
      </c>
      <c r="D109" s="100">
        <f t="shared" si="17"/>
        <v>119.26359149900578</v>
      </c>
      <c r="E109" s="101">
        <f t="shared" si="10"/>
        <v>0</v>
      </c>
      <c r="F109" s="100">
        <f t="shared" si="11"/>
        <v>119.26359149900578</v>
      </c>
      <c r="G109" s="100">
        <f t="shared" si="14"/>
        <v>116.32620895134207</v>
      </c>
      <c r="H109" s="100">
        <f t="shared" si="15"/>
        <v>2.9373825476637183</v>
      </c>
      <c r="I109" s="100">
        <f t="shared" si="12"/>
        <v>471.15030058140155</v>
      </c>
      <c r="J109" s="93"/>
      <c r="K109" s="93"/>
    </row>
    <row r="110" spans="1:11" ht="12.75">
      <c r="A110" s="96">
        <f t="shared" si="13"/>
        <v>93</v>
      </c>
      <c r="B110" s="97">
        <f t="shared" si="9"/>
        <v>43009</v>
      </c>
      <c r="C110" s="100">
        <f t="shared" si="16"/>
        <v>471.15030058140155</v>
      </c>
      <c r="D110" s="100">
        <f t="shared" si="17"/>
        <v>119.26359149900578</v>
      </c>
      <c r="E110" s="101">
        <f t="shared" si="10"/>
        <v>0</v>
      </c>
      <c r="F110" s="100">
        <f t="shared" si="11"/>
        <v>119.26359149900578</v>
      </c>
      <c r="G110" s="100">
        <f t="shared" si="14"/>
        <v>116.90783999609877</v>
      </c>
      <c r="H110" s="100">
        <f t="shared" si="15"/>
        <v>2.3557515029070077</v>
      </c>
      <c r="I110" s="100">
        <f t="shared" si="12"/>
        <v>354.24246058530275</v>
      </c>
      <c r="J110" s="93"/>
      <c r="K110" s="93"/>
    </row>
    <row r="111" spans="1:11" ht="12.75">
      <c r="A111" s="96">
        <f t="shared" si="13"/>
        <v>94</v>
      </c>
      <c r="B111" s="97">
        <f t="shared" si="9"/>
        <v>43040</v>
      </c>
      <c r="C111" s="100">
        <f t="shared" si="16"/>
        <v>354.24246058530275</v>
      </c>
      <c r="D111" s="100">
        <f t="shared" si="17"/>
        <v>119.26359149900578</v>
      </c>
      <c r="E111" s="101">
        <f t="shared" si="10"/>
        <v>0</v>
      </c>
      <c r="F111" s="100">
        <f t="shared" si="11"/>
        <v>119.26359149900578</v>
      </c>
      <c r="G111" s="100">
        <f t="shared" si="14"/>
        <v>117.49237919607927</v>
      </c>
      <c r="H111" s="100">
        <f t="shared" si="15"/>
        <v>1.7712123029265137</v>
      </c>
      <c r="I111" s="100">
        <f t="shared" si="12"/>
        <v>236.75008138922348</v>
      </c>
      <c r="J111" s="93"/>
      <c r="K111" s="93"/>
    </row>
    <row r="112" spans="1:11" ht="12.75">
      <c r="A112" s="96">
        <f t="shared" si="13"/>
        <v>95</v>
      </c>
      <c r="B112" s="97">
        <f t="shared" si="9"/>
        <v>43070</v>
      </c>
      <c r="C112" s="100">
        <f t="shared" si="16"/>
        <v>236.75008138922348</v>
      </c>
      <c r="D112" s="100">
        <f t="shared" si="17"/>
        <v>119.26359149900578</v>
      </c>
      <c r="E112" s="101">
        <f t="shared" si="10"/>
        <v>0</v>
      </c>
      <c r="F112" s="100">
        <f t="shared" si="11"/>
        <v>119.26359149900578</v>
      </c>
      <c r="G112" s="100">
        <f t="shared" si="14"/>
        <v>118.07984109205967</v>
      </c>
      <c r="H112" s="100">
        <f t="shared" si="15"/>
        <v>1.1837504069461173</v>
      </c>
      <c r="I112" s="100">
        <f t="shared" si="12"/>
        <v>118.67024029716382</v>
      </c>
      <c r="J112" s="93"/>
      <c r="K112" s="93"/>
    </row>
    <row r="113" spans="1:11" ht="12.75">
      <c r="A113" s="96">
        <f t="shared" si="13"/>
        <v>96</v>
      </c>
      <c r="B113" s="97">
        <f t="shared" si="9"/>
        <v>43101</v>
      </c>
      <c r="C113" s="100">
        <f t="shared" si="16"/>
        <v>118.67024029716382</v>
      </c>
      <c r="D113" s="100">
        <f t="shared" si="17"/>
        <v>119.26359149900578</v>
      </c>
      <c r="E113" s="101">
        <f t="shared" si="10"/>
        <v>0</v>
      </c>
      <c r="F113" s="100">
        <f t="shared" si="11"/>
        <v>118.67024029716382</v>
      </c>
      <c r="G113" s="100">
        <f t="shared" si="14"/>
        <v>118.076889095678</v>
      </c>
      <c r="H113" s="100">
        <f t="shared" si="15"/>
        <v>0.593351201485819</v>
      </c>
      <c r="I113" s="100">
        <f t="shared" si="12"/>
        <v>0</v>
      </c>
      <c r="J113" s="93"/>
      <c r="K113" s="93"/>
    </row>
    <row r="114" spans="1:11" ht="12.75">
      <c r="A114" s="96">
        <f t="shared" si="13"/>
        <v>97</v>
      </c>
      <c r="B114" s="97">
        <f t="shared" si="9"/>
        <v>43132</v>
      </c>
      <c r="C114" s="100">
        <f t="shared" si="16"/>
        <v>0</v>
      </c>
      <c r="D114" s="100">
        <f t="shared" si="17"/>
        <v>119.26359149900578</v>
      </c>
      <c r="E114" s="101">
        <f t="shared" si="10"/>
        <v>0</v>
      </c>
      <c r="F114" s="100">
        <f t="shared" si="11"/>
        <v>0</v>
      </c>
      <c r="G114" s="100">
        <f t="shared" si="14"/>
        <v>0</v>
      </c>
      <c r="H114" s="100">
        <f t="shared" si="15"/>
        <v>0</v>
      </c>
      <c r="I114" s="100">
        <f t="shared" si="12"/>
        <v>0</v>
      </c>
      <c r="J114" s="93"/>
      <c r="K114" s="93"/>
    </row>
    <row r="115" spans="1:11" ht="12.75">
      <c r="A115" s="96">
        <f t="shared" si="13"/>
        <v>98</v>
      </c>
      <c r="B115" s="97">
        <f t="shared" si="9"/>
        <v>43160</v>
      </c>
      <c r="C115" s="100">
        <f t="shared" si="16"/>
        <v>0</v>
      </c>
      <c r="D115" s="100">
        <f t="shared" si="17"/>
        <v>119.26359149900578</v>
      </c>
      <c r="E115" s="101">
        <f t="shared" si="10"/>
        <v>0</v>
      </c>
      <c r="F115" s="100">
        <f t="shared" si="11"/>
        <v>0</v>
      </c>
      <c r="G115" s="100">
        <f t="shared" si="14"/>
        <v>0</v>
      </c>
      <c r="H115" s="100">
        <f t="shared" si="15"/>
        <v>0</v>
      </c>
      <c r="I115" s="100">
        <f t="shared" si="12"/>
        <v>0</v>
      </c>
      <c r="J115" s="93"/>
      <c r="K115" s="93"/>
    </row>
    <row r="116" spans="1:11" ht="12.75">
      <c r="A116" s="96">
        <f t="shared" si="13"/>
        <v>99</v>
      </c>
      <c r="B116" s="97">
        <f t="shared" si="9"/>
        <v>43191</v>
      </c>
      <c r="C116" s="100">
        <f t="shared" si="16"/>
        <v>0</v>
      </c>
      <c r="D116" s="100">
        <f t="shared" si="17"/>
        <v>119.26359149900578</v>
      </c>
      <c r="E116" s="101">
        <f t="shared" si="10"/>
        <v>0</v>
      </c>
      <c r="F116" s="100">
        <f t="shared" si="11"/>
        <v>0</v>
      </c>
      <c r="G116" s="100">
        <f t="shared" si="14"/>
        <v>0</v>
      </c>
      <c r="H116" s="100">
        <f t="shared" si="15"/>
        <v>0</v>
      </c>
      <c r="I116" s="100">
        <f t="shared" si="12"/>
        <v>0</v>
      </c>
      <c r="J116" s="93"/>
      <c r="K116" s="93"/>
    </row>
    <row r="117" spans="1:11" ht="12.75">
      <c r="A117" s="96">
        <f t="shared" si="13"/>
        <v>100</v>
      </c>
      <c r="B117" s="97">
        <f t="shared" si="9"/>
        <v>43221</v>
      </c>
      <c r="C117" s="100">
        <f t="shared" si="16"/>
        <v>0</v>
      </c>
      <c r="D117" s="100">
        <f t="shared" si="17"/>
        <v>119.26359149900578</v>
      </c>
      <c r="E117" s="101">
        <f t="shared" si="10"/>
        <v>0</v>
      </c>
      <c r="F117" s="100">
        <f t="shared" si="11"/>
        <v>0</v>
      </c>
      <c r="G117" s="100">
        <f t="shared" si="14"/>
        <v>0</v>
      </c>
      <c r="H117" s="100">
        <f t="shared" si="15"/>
        <v>0</v>
      </c>
      <c r="I117" s="100">
        <f t="shared" si="12"/>
        <v>0</v>
      </c>
      <c r="J117" s="93"/>
      <c r="K117" s="93"/>
    </row>
    <row r="118" spans="1:11" ht="12.75">
      <c r="A118" s="96">
        <f t="shared" si="13"/>
        <v>101</v>
      </c>
      <c r="B118" s="97">
        <f t="shared" si="9"/>
        <v>43252</v>
      </c>
      <c r="C118" s="100">
        <f t="shared" si="16"/>
        <v>0</v>
      </c>
      <c r="D118" s="100">
        <f t="shared" si="17"/>
        <v>119.26359149900578</v>
      </c>
      <c r="E118" s="101">
        <f t="shared" si="10"/>
        <v>0</v>
      </c>
      <c r="F118" s="100">
        <f t="shared" si="11"/>
        <v>0</v>
      </c>
      <c r="G118" s="100">
        <f t="shared" si="14"/>
        <v>0</v>
      </c>
      <c r="H118" s="100">
        <f t="shared" si="15"/>
        <v>0</v>
      </c>
      <c r="I118" s="100">
        <f t="shared" si="12"/>
        <v>0</v>
      </c>
      <c r="J118" s="93"/>
      <c r="K118" s="93"/>
    </row>
    <row r="119" spans="1:11" ht="12.75">
      <c r="A119" s="96">
        <f t="shared" si="13"/>
        <v>102</v>
      </c>
      <c r="B119" s="97">
        <f t="shared" si="9"/>
        <v>43282</v>
      </c>
      <c r="C119" s="100">
        <f t="shared" si="16"/>
        <v>0</v>
      </c>
      <c r="D119" s="100">
        <f t="shared" si="17"/>
        <v>119.26359149900578</v>
      </c>
      <c r="E119" s="101">
        <f t="shared" si="10"/>
        <v>0</v>
      </c>
      <c r="F119" s="100">
        <f t="shared" si="11"/>
        <v>0</v>
      </c>
      <c r="G119" s="100">
        <f t="shared" si="14"/>
        <v>0</v>
      </c>
      <c r="H119" s="100">
        <f t="shared" si="15"/>
        <v>0</v>
      </c>
      <c r="I119" s="100">
        <f t="shared" si="12"/>
        <v>0</v>
      </c>
      <c r="J119" s="93"/>
      <c r="K119" s="93"/>
    </row>
    <row r="120" spans="1:11" ht="12.75">
      <c r="A120" s="96">
        <f t="shared" si="13"/>
        <v>103</v>
      </c>
      <c r="B120" s="97">
        <f t="shared" si="9"/>
        <v>43313</v>
      </c>
      <c r="C120" s="100">
        <f t="shared" si="16"/>
        <v>0</v>
      </c>
      <c r="D120" s="100">
        <f t="shared" si="17"/>
        <v>119.26359149900578</v>
      </c>
      <c r="E120" s="101">
        <f t="shared" si="10"/>
        <v>0</v>
      </c>
      <c r="F120" s="100">
        <f t="shared" si="11"/>
        <v>0</v>
      </c>
      <c r="G120" s="100">
        <f t="shared" si="14"/>
        <v>0</v>
      </c>
      <c r="H120" s="100">
        <f t="shared" si="15"/>
        <v>0</v>
      </c>
      <c r="I120" s="100">
        <f t="shared" si="12"/>
        <v>0</v>
      </c>
      <c r="J120" s="93"/>
      <c r="K120" s="93"/>
    </row>
    <row r="121" spans="1:11" ht="12.75">
      <c r="A121" s="96">
        <f t="shared" si="13"/>
        <v>104</v>
      </c>
      <c r="B121" s="97">
        <f t="shared" si="9"/>
        <v>43344</v>
      </c>
      <c r="C121" s="100">
        <f t="shared" si="16"/>
        <v>0</v>
      </c>
      <c r="D121" s="100">
        <f t="shared" si="17"/>
        <v>119.26359149900578</v>
      </c>
      <c r="E121" s="101">
        <f t="shared" si="10"/>
        <v>0</v>
      </c>
      <c r="F121" s="100">
        <f t="shared" si="11"/>
        <v>0</v>
      </c>
      <c r="G121" s="100">
        <f t="shared" si="14"/>
        <v>0</v>
      </c>
      <c r="H121" s="100">
        <f t="shared" si="15"/>
        <v>0</v>
      </c>
      <c r="I121" s="100">
        <f t="shared" si="12"/>
        <v>0</v>
      </c>
      <c r="J121" s="93"/>
      <c r="K121" s="93"/>
    </row>
    <row r="122" spans="1:11" ht="12.75">
      <c r="A122" s="96">
        <f t="shared" si="13"/>
        <v>105</v>
      </c>
      <c r="B122" s="97">
        <f t="shared" si="9"/>
        <v>43374</v>
      </c>
      <c r="C122" s="100">
        <f t="shared" si="16"/>
        <v>0</v>
      </c>
      <c r="D122" s="100">
        <f t="shared" si="17"/>
        <v>119.26359149900578</v>
      </c>
      <c r="E122" s="101">
        <f t="shared" si="10"/>
        <v>0</v>
      </c>
      <c r="F122" s="100">
        <f t="shared" si="11"/>
        <v>0</v>
      </c>
      <c r="G122" s="100">
        <f t="shared" si="14"/>
        <v>0</v>
      </c>
      <c r="H122" s="100">
        <f t="shared" si="15"/>
        <v>0</v>
      </c>
      <c r="I122" s="100">
        <f t="shared" si="12"/>
        <v>0</v>
      </c>
      <c r="J122" s="93"/>
      <c r="K122" s="93"/>
    </row>
    <row r="123" spans="1:11" ht="12.75">
      <c r="A123" s="96">
        <f t="shared" si="13"/>
        <v>106</v>
      </c>
      <c r="B123" s="97">
        <f t="shared" si="9"/>
        <v>43405</v>
      </c>
      <c r="C123" s="100">
        <f t="shared" si="16"/>
        <v>0</v>
      </c>
      <c r="D123" s="100">
        <f t="shared" si="17"/>
        <v>119.26359149900578</v>
      </c>
      <c r="E123" s="101">
        <f t="shared" si="10"/>
        <v>0</v>
      </c>
      <c r="F123" s="100">
        <f t="shared" si="11"/>
        <v>0</v>
      </c>
      <c r="G123" s="100">
        <f t="shared" si="14"/>
        <v>0</v>
      </c>
      <c r="H123" s="100">
        <f t="shared" si="15"/>
        <v>0</v>
      </c>
      <c r="I123" s="100">
        <f t="shared" si="12"/>
        <v>0</v>
      </c>
      <c r="J123" s="93"/>
      <c r="K123" s="93"/>
    </row>
    <row r="124" spans="1:11" ht="12.75">
      <c r="A124" s="96">
        <f t="shared" si="13"/>
        <v>107</v>
      </c>
      <c r="B124" s="97">
        <f t="shared" si="9"/>
        <v>43435</v>
      </c>
      <c r="C124" s="100">
        <f t="shared" si="16"/>
        <v>0</v>
      </c>
      <c r="D124" s="100">
        <f t="shared" si="17"/>
        <v>119.26359149900578</v>
      </c>
      <c r="E124" s="101">
        <f t="shared" si="10"/>
        <v>0</v>
      </c>
      <c r="F124" s="100">
        <f t="shared" si="11"/>
        <v>0</v>
      </c>
      <c r="G124" s="100">
        <f t="shared" si="14"/>
        <v>0</v>
      </c>
      <c r="H124" s="100">
        <f t="shared" si="15"/>
        <v>0</v>
      </c>
      <c r="I124" s="100">
        <f t="shared" si="12"/>
        <v>0</v>
      </c>
      <c r="J124" s="93"/>
      <c r="K124" s="93"/>
    </row>
    <row r="125" spans="1:11" ht="12.75">
      <c r="A125" s="96">
        <f t="shared" si="13"/>
        <v>108</v>
      </c>
      <c r="B125" s="97">
        <f t="shared" si="9"/>
        <v>43466</v>
      </c>
      <c r="C125" s="100">
        <f t="shared" si="16"/>
        <v>0</v>
      </c>
      <c r="D125" s="100">
        <f t="shared" si="17"/>
        <v>119.26359149900578</v>
      </c>
      <c r="E125" s="101">
        <f t="shared" si="10"/>
        <v>0</v>
      </c>
      <c r="F125" s="100">
        <f t="shared" si="11"/>
        <v>0</v>
      </c>
      <c r="G125" s="100">
        <f t="shared" si="14"/>
        <v>0</v>
      </c>
      <c r="H125" s="100">
        <f t="shared" si="15"/>
        <v>0</v>
      </c>
      <c r="I125" s="100">
        <f t="shared" si="12"/>
        <v>0</v>
      </c>
      <c r="J125" s="93"/>
      <c r="K125" s="93"/>
    </row>
    <row r="126" spans="1:11" ht="12.75">
      <c r="A126" s="96">
        <f t="shared" si="13"/>
        <v>109</v>
      </c>
      <c r="B126" s="97">
        <f t="shared" si="9"/>
        <v>43497</v>
      </c>
      <c r="C126" s="100">
        <f t="shared" si="16"/>
        <v>0</v>
      </c>
      <c r="D126" s="100">
        <f t="shared" si="17"/>
        <v>119.26359149900578</v>
      </c>
      <c r="E126" s="101">
        <f t="shared" si="10"/>
        <v>0</v>
      </c>
      <c r="F126" s="100">
        <f t="shared" si="11"/>
        <v>0</v>
      </c>
      <c r="G126" s="100">
        <f t="shared" si="14"/>
        <v>0</v>
      </c>
      <c r="H126" s="100">
        <f t="shared" si="15"/>
        <v>0</v>
      </c>
      <c r="I126" s="100">
        <f t="shared" si="12"/>
        <v>0</v>
      </c>
      <c r="J126" s="93"/>
      <c r="K126" s="93"/>
    </row>
    <row r="127" spans="1:11" ht="12.75">
      <c r="A127" s="96">
        <f t="shared" si="13"/>
        <v>110</v>
      </c>
      <c r="B127" s="97">
        <f t="shared" si="9"/>
        <v>43525</v>
      </c>
      <c r="C127" s="100">
        <f t="shared" si="16"/>
        <v>0</v>
      </c>
      <c r="D127" s="100">
        <f t="shared" si="17"/>
        <v>119.26359149900578</v>
      </c>
      <c r="E127" s="101">
        <f t="shared" si="10"/>
        <v>0</v>
      </c>
      <c r="F127" s="100">
        <f t="shared" si="11"/>
        <v>0</v>
      </c>
      <c r="G127" s="100">
        <f t="shared" si="14"/>
        <v>0</v>
      </c>
      <c r="H127" s="100">
        <f t="shared" si="15"/>
        <v>0</v>
      </c>
      <c r="I127" s="100">
        <f t="shared" si="12"/>
        <v>0</v>
      </c>
      <c r="J127" s="93"/>
      <c r="K127" s="93"/>
    </row>
    <row r="128" spans="1:11" ht="12.75">
      <c r="A128" s="96">
        <f t="shared" si="13"/>
        <v>111</v>
      </c>
      <c r="B128" s="97">
        <f t="shared" si="9"/>
        <v>43556</v>
      </c>
      <c r="C128" s="100">
        <f t="shared" si="16"/>
        <v>0</v>
      </c>
      <c r="D128" s="100">
        <f t="shared" si="17"/>
        <v>119.26359149900578</v>
      </c>
      <c r="E128" s="101">
        <f t="shared" si="10"/>
        <v>0</v>
      </c>
      <c r="F128" s="100">
        <f t="shared" si="11"/>
        <v>0</v>
      </c>
      <c r="G128" s="100">
        <f t="shared" si="14"/>
        <v>0</v>
      </c>
      <c r="H128" s="100">
        <f t="shared" si="15"/>
        <v>0</v>
      </c>
      <c r="I128" s="100">
        <f t="shared" si="12"/>
        <v>0</v>
      </c>
      <c r="J128" s="93"/>
      <c r="K128" s="93"/>
    </row>
    <row r="129" spans="1:11" ht="12.75">
      <c r="A129" s="96">
        <f t="shared" si="13"/>
        <v>112</v>
      </c>
      <c r="B129" s="97">
        <f t="shared" si="9"/>
        <v>43586</v>
      </c>
      <c r="C129" s="100">
        <f t="shared" si="16"/>
        <v>0</v>
      </c>
      <c r="D129" s="100">
        <f t="shared" si="17"/>
        <v>119.26359149900578</v>
      </c>
      <c r="E129" s="101">
        <f t="shared" si="10"/>
        <v>0</v>
      </c>
      <c r="F129" s="100">
        <f t="shared" si="11"/>
        <v>0</v>
      </c>
      <c r="G129" s="100">
        <f t="shared" si="14"/>
        <v>0</v>
      </c>
      <c r="H129" s="100">
        <f t="shared" si="15"/>
        <v>0</v>
      </c>
      <c r="I129" s="100">
        <f t="shared" si="12"/>
        <v>0</v>
      </c>
      <c r="J129" s="93"/>
      <c r="K129" s="93"/>
    </row>
    <row r="130" spans="1:11" ht="12.75">
      <c r="A130" s="96">
        <f t="shared" si="13"/>
        <v>113</v>
      </c>
      <c r="B130" s="97">
        <f t="shared" si="9"/>
        <v>43617</v>
      </c>
      <c r="C130" s="100">
        <f t="shared" si="16"/>
        <v>0</v>
      </c>
      <c r="D130" s="100">
        <f t="shared" si="17"/>
        <v>119.26359149900578</v>
      </c>
      <c r="E130" s="101">
        <f t="shared" si="10"/>
        <v>0</v>
      </c>
      <c r="F130" s="100">
        <f t="shared" si="11"/>
        <v>0</v>
      </c>
      <c r="G130" s="100">
        <f t="shared" si="14"/>
        <v>0</v>
      </c>
      <c r="H130" s="100">
        <f t="shared" si="15"/>
        <v>0</v>
      </c>
      <c r="I130" s="100">
        <f t="shared" si="12"/>
        <v>0</v>
      </c>
      <c r="J130" s="93"/>
      <c r="K130" s="93"/>
    </row>
    <row r="131" spans="1:11" ht="12.75">
      <c r="A131" s="96">
        <f t="shared" si="13"/>
        <v>114</v>
      </c>
      <c r="B131" s="97">
        <f t="shared" si="9"/>
        <v>43647</v>
      </c>
      <c r="C131" s="100">
        <f t="shared" si="16"/>
        <v>0</v>
      </c>
      <c r="D131" s="100">
        <f t="shared" si="17"/>
        <v>119.26359149900578</v>
      </c>
      <c r="E131" s="101">
        <f t="shared" si="10"/>
        <v>0</v>
      </c>
      <c r="F131" s="100">
        <f t="shared" si="11"/>
        <v>0</v>
      </c>
      <c r="G131" s="100">
        <f t="shared" si="14"/>
        <v>0</v>
      </c>
      <c r="H131" s="100">
        <f t="shared" si="15"/>
        <v>0</v>
      </c>
      <c r="I131" s="100">
        <f t="shared" si="12"/>
        <v>0</v>
      </c>
      <c r="J131" s="93"/>
      <c r="K131" s="93"/>
    </row>
    <row r="132" spans="1:11" ht="12.75">
      <c r="A132" s="96">
        <f t="shared" si="13"/>
        <v>115</v>
      </c>
      <c r="B132" s="97">
        <f t="shared" si="9"/>
        <v>43678</v>
      </c>
      <c r="C132" s="100">
        <f t="shared" si="16"/>
        <v>0</v>
      </c>
      <c r="D132" s="100">
        <f t="shared" si="17"/>
        <v>119.26359149900578</v>
      </c>
      <c r="E132" s="101">
        <f t="shared" si="10"/>
        <v>0</v>
      </c>
      <c r="F132" s="100">
        <f t="shared" si="11"/>
        <v>0</v>
      </c>
      <c r="G132" s="100">
        <f t="shared" si="14"/>
        <v>0</v>
      </c>
      <c r="H132" s="100">
        <f t="shared" si="15"/>
        <v>0</v>
      </c>
      <c r="I132" s="100">
        <f t="shared" si="12"/>
        <v>0</v>
      </c>
      <c r="J132" s="93"/>
      <c r="K132" s="93"/>
    </row>
    <row r="133" spans="1:11" ht="12.75">
      <c r="A133" s="96">
        <f t="shared" si="13"/>
        <v>116</v>
      </c>
      <c r="B133" s="97">
        <f t="shared" si="9"/>
        <v>43709</v>
      </c>
      <c r="C133" s="100">
        <f t="shared" si="16"/>
        <v>0</v>
      </c>
      <c r="D133" s="100">
        <f t="shared" si="17"/>
        <v>119.26359149900578</v>
      </c>
      <c r="E133" s="101">
        <f t="shared" si="10"/>
        <v>0</v>
      </c>
      <c r="F133" s="100">
        <f t="shared" si="11"/>
        <v>0</v>
      </c>
      <c r="G133" s="100">
        <f t="shared" si="14"/>
        <v>0</v>
      </c>
      <c r="H133" s="100">
        <f t="shared" si="15"/>
        <v>0</v>
      </c>
      <c r="I133" s="100">
        <f t="shared" si="12"/>
        <v>0</v>
      </c>
      <c r="J133" s="93"/>
      <c r="K133" s="93"/>
    </row>
    <row r="134" spans="1:11" ht="12.75">
      <c r="A134" s="96">
        <f t="shared" si="13"/>
        <v>117</v>
      </c>
      <c r="B134" s="97">
        <f t="shared" si="9"/>
        <v>43739</v>
      </c>
      <c r="C134" s="100">
        <f t="shared" si="16"/>
        <v>0</v>
      </c>
      <c r="D134" s="100">
        <f t="shared" si="17"/>
        <v>119.26359149900578</v>
      </c>
      <c r="E134" s="101">
        <f t="shared" si="10"/>
        <v>0</v>
      </c>
      <c r="F134" s="100">
        <f t="shared" si="11"/>
        <v>0</v>
      </c>
      <c r="G134" s="100">
        <f t="shared" si="14"/>
        <v>0</v>
      </c>
      <c r="H134" s="100">
        <f t="shared" si="15"/>
        <v>0</v>
      </c>
      <c r="I134" s="100">
        <f t="shared" si="12"/>
        <v>0</v>
      </c>
      <c r="J134" s="93"/>
      <c r="K134" s="93"/>
    </row>
    <row r="135" spans="1:11" ht="12.75">
      <c r="A135" s="96">
        <f t="shared" si="13"/>
        <v>118</v>
      </c>
      <c r="B135" s="97">
        <f t="shared" si="9"/>
        <v>43770</v>
      </c>
      <c r="C135" s="100">
        <f t="shared" si="16"/>
        <v>0</v>
      </c>
      <c r="D135" s="100">
        <f t="shared" si="17"/>
        <v>119.26359149900578</v>
      </c>
      <c r="E135" s="101">
        <f t="shared" si="10"/>
        <v>0</v>
      </c>
      <c r="F135" s="100">
        <f t="shared" si="11"/>
        <v>0</v>
      </c>
      <c r="G135" s="100">
        <f t="shared" si="14"/>
        <v>0</v>
      </c>
      <c r="H135" s="100">
        <f t="shared" si="15"/>
        <v>0</v>
      </c>
      <c r="I135" s="100">
        <f t="shared" si="12"/>
        <v>0</v>
      </c>
      <c r="J135" s="93"/>
      <c r="K135" s="93"/>
    </row>
    <row r="136" spans="1:11" ht="12.75">
      <c r="A136" s="96">
        <f t="shared" si="13"/>
        <v>119</v>
      </c>
      <c r="B136" s="97">
        <f t="shared" si="9"/>
        <v>43800</v>
      </c>
      <c r="C136" s="100">
        <f t="shared" si="16"/>
        <v>0</v>
      </c>
      <c r="D136" s="100">
        <f t="shared" si="17"/>
        <v>119.26359149900578</v>
      </c>
      <c r="E136" s="101">
        <f t="shared" si="10"/>
        <v>0</v>
      </c>
      <c r="F136" s="100">
        <f t="shared" si="11"/>
        <v>0</v>
      </c>
      <c r="G136" s="100">
        <f t="shared" si="14"/>
        <v>0</v>
      </c>
      <c r="H136" s="100">
        <f t="shared" si="15"/>
        <v>0</v>
      </c>
      <c r="I136" s="100">
        <f t="shared" si="12"/>
        <v>0</v>
      </c>
      <c r="J136" s="93"/>
      <c r="K136" s="93"/>
    </row>
    <row r="137" spans="1:11" ht="12.75">
      <c r="A137" s="96">
        <f t="shared" si="13"/>
        <v>120</v>
      </c>
      <c r="B137" s="97">
        <f t="shared" si="9"/>
        <v>43831</v>
      </c>
      <c r="C137" s="100">
        <f t="shared" si="16"/>
        <v>0</v>
      </c>
      <c r="D137" s="100">
        <f t="shared" si="17"/>
        <v>119.26359149900578</v>
      </c>
      <c r="E137" s="101">
        <f t="shared" si="10"/>
        <v>0</v>
      </c>
      <c r="F137" s="100">
        <f t="shared" si="11"/>
        <v>0</v>
      </c>
      <c r="G137" s="100">
        <f t="shared" si="14"/>
        <v>0</v>
      </c>
      <c r="H137" s="100">
        <f t="shared" si="15"/>
        <v>0</v>
      </c>
      <c r="I137" s="100">
        <f t="shared" si="12"/>
        <v>0</v>
      </c>
      <c r="J137" s="93"/>
      <c r="K137" s="93"/>
    </row>
    <row r="138" spans="1:11" ht="12.75">
      <c r="A138" s="96">
        <f t="shared" si="13"/>
        <v>121</v>
      </c>
      <c r="B138" s="97">
        <f t="shared" si="9"/>
        <v>43862</v>
      </c>
      <c r="C138" s="100">
        <f t="shared" si="16"/>
        <v>0</v>
      </c>
      <c r="D138" s="100">
        <f t="shared" si="17"/>
        <v>119.26359149900578</v>
      </c>
      <c r="E138" s="101">
        <f t="shared" si="10"/>
        <v>0</v>
      </c>
      <c r="F138" s="100">
        <f t="shared" si="11"/>
        <v>0</v>
      </c>
      <c r="G138" s="100">
        <f t="shared" si="14"/>
        <v>0</v>
      </c>
      <c r="H138" s="100">
        <f t="shared" si="15"/>
        <v>0</v>
      </c>
      <c r="I138" s="100">
        <f t="shared" si="12"/>
        <v>0</v>
      </c>
      <c r="J138" s="93"/>
      <c r="K138" s="93"/>
    </row>
    <row r="139" spans="1:11" ht="12.75">
      <c r="A139" s="96">
        <f t="shared" si="13"/>
        <v>122</v>
      </c>
      <c r="B139" s="97">
        <f t="shared" si="9"/>
        <v>43891</v>
      </c>
      <c r="C139" s="100">
        <f t="shared" si="16"/>
        <v>0</v>
      </c>
      <c r="D139" s="100">
        <f t="shared" si="17"/>
        <v>119.26359149900578</v>
      </c>
      <c r="E139" s="101">
        <f t="shared" si="10"/>
        <v>0</v>
      </c>
      <c r="F139" s="100">
        <f t="shared" si="11"/>
        <v>0</v>
      </c>
      <c r="G139" s="100">
        <f t="shared" si="14"/>
        <v>0</v>
      </c>
      <c r="H139" s="100">
        <f t="shared" si="15"/>
        <v>0</v>
      </c>
      <c r="I139" s="100">
        <f t="shared" si="12"/>
        <v>0</v>
      </c>
      <c r="J139" s="93"/>
      <c r="K139" s="93"/>
    </row>
    <row r="140" spans="1:11" ht="12.75">
      <c r="A140" s="96">
        <f t="shared" si="13"/>
        <v>123</v>
      </c>
      <c r="B140" s="97">
        <f t="shared" si="9"/>
        <v>43922</v>
      </c>
      <c r="C140" s="100">
        <f t="shared" si="16"/>
        <v>0</v>
      </c>
      <c r="D140" s="100">
        <f t="shared" si="17"/>
        <v>119.26359149900578</v>
      </c>
      <c r="E140" s="101">
        <f t="shared" si="10"/>
        <v>0</v>
      </c>
      <c r="F140" s="100">
        <f t="shared" si="11"/>
        <v>0</v>
      </c>
      <c r="G140" s="100">
        <f t="shared" si="14"/>
        <v>0</v>
      </c>
      <c r="H140" s="100">
        <f t="shared" si="15"/>
        <v>0</v>
      </c>
      <c r="I140" s="100">
        <f t="shared" si="12"/>
        <v>0</v>
      </c>
      <c r="J140" s="93"/>
      <c r="K140" s="93"/>
    </row>
    <row r="141" spans="1:11" ht="12.75">
      <c r="A141" s="96">
        <f t="shared" si="13"/>
        <v>124</v>
      </c>
      <c r="B141" s="97">
        <f t="shared" si="9"/>
        <v>43952</v>
      </c>
      <c r="C141" s="100">
        <f t="shared" si="16"/>
        <v>0</v>
      </c>
      <c r="D141" s="100">
        <f t="shared" si="17"/>
        <v>119.26359149900578</v>
      </c>
      <c r="E141" s="101">
        <f t="shared" si="10"/>
        <v>0</v>
      </c>
      <c r="F141" s="100">
        <f t="shared" si="11"/>
        <v>0</v>
      </c>
      <c r="G141" s="100">
        <f t="shared" si="14"/>
        <v>0</v>
      </c>
      <c r="H141" s="100">
        <f t="shared" si="15"/>
        <v>0</v>
      </c>
      <c r="I141" s="100">
        <f t="shared" si="12"/>
        <v>0</v>
      </c>
      <c r="J141" s="93"/>
      <c r="K141" s="93"/>
    </row>
    <row r="142" spans="1:11" ht="12.75">
      <c r="A142" s="96">
        <f t="shared" si="13"/>
        <v>125</v>
      </c>
      <c r="B142" s="97">
        <f t="shared" si="9"/>
        <v>43983</v>
      </c>
      <c r="C142" s="100">
        <f t="shared" si="16"/>
        <v>0</v>
      </c>
      <c r="D142" s="100">
        <f t="shared" si="17"/>
        <v>119.26359149900578</v>
      </c>
      <c r="E142" s="101">
        <f t="shared" si="10"/>
        <v>0</v>
      </c>
      <c r="F142" s="100">
        <f t="shared" si="11"/>
        <v>0</v>
      </c>
      <c r="G142" s="100">
        <f t="shared" si="14"/>
        <v>0</v>
      </c>
      <c r="H142" s="100">
        <f t="shared" si="15"/>
        <v>0</v>
      </c>
      <c r="I142" s="100">
        <f t="shared" si="12"/>
        <v>0</v>
      </c>
      <c r="J142" s="93"/>
      <c r="K142" s="93"/>
    </row>
    <row r="143" spans="1:11" ht="12.75">
      <c r="A143" s="96">
        <f t="shared" si="13"/>
        <v>126</v>
      </c>
      <c r="B143" s="97">
        <f t="shared" si="9"/>
        <v>44013</v>
      </c>
      <c r="C143" s="100">
        <f t="shared" si="16"/>
        <v>0</v>
      </c>
      <c r="D143" s="100">
        <f t="shared" si="17"/>
        <v>119.26359149900578</v>
      </c>
      <c r="E143" s="101">
        <f t="shared" si="10"/>
        <v>0</v>
      </c>
      <c r="F143" s="100">
        <f t="shared" si="11"/>
        <v>0</v>
      </c>
      <c r="G143" s="100">
        <f t="shared" si="14"/>
        <v>0</v>
      </c>
      <c r="H143" s="100">
        <f t="shared" si="15"/>
        <v>0</v>
      </c>
      <c r="I143" s="100">
        <f t="shared" si="12"/>
        <v>0</v>
      </c>
      <c r="J143" s="93"/>
      <c r="K143" s="93"/>
    </row>
    <row r="144" spans="1:11" ht="12.75">
      <c r="A144" s="96">
        <f t="shared" si="13"/>
        <v>127</v>
      </c>
      <c r="B144" s="97">
        <f t="shared" si="9"/>
        <v>44044</v>
      </c>
      <c r="C144" s="100">
        <f t="shared" si="16"/>
        <v>0</v>
      </c>
      <c r="D144" s="100">
        <f t="shared" si="17"/>
        <v>119.26359149900578</v>
      </c>
      <c r="E144" s="101">
        <f t="shared" si="10"/>
        <v>0</v>
      </c>
      <c r="F144" s="100">
        <f t="shared" si="11"/>
        <v>0</v>
      </c>
      <c r="G144" s="100">
        <f t="shared" si="14"/>
        <v>0</v>
      </c>
      <c r="H144" s="100">
        <f t="shared" si="15"/>
        <v>0</v>
      </c>
      <c r="I144" s="100">
        <f t="shared" si="12"/>
        <v>0</v>
      </c>
      <c r="J144" s="93"/>
      <c r="K144" s="93"/>
    </row>
    <row r="145" spans="1:11" ht="12.75">
      <c r="A145" s="96">
        <f t="shared" si="13"/>
        <v>128</v>
      </c>
      <c r="B145" s="97">
        <f t="shared" si="9"/>
        <v>44075</v>
      </c>
      <c r="C145" s="100">
        <f t="shared" si="16"/>
        <v>0</v>
      </c>
      <c r="D145" s="100">
        <f t="shared" si="17"/>
        <v>119.26359149900578</v>
      </c>
      <c r="E145" s="101">
        <f t="shared" si="10"/>
        <v>0</v>
      </c>
      <c r="F145" s="100">
        <f t="shared" si="11"/>
        <v>0</v>
      </c>
      <c r="G145" s="100">
        <f t="shared" si="14"/>
        <v>0</v>
      </c>
      <c r="H145" s="100">
        <f t="shared" si="15"/>
        <v>0</v>
      </c>
      <c r="I145" s="100">
        <f t="shared" si="12"/>
        <v>0</v>
      </c>
      <c r="J145" s="93"/>
      <c r="K145" s="93"/>
    </row>
    <row r="146" spans="1:11" ht="12.75">
      <c r="A146" s="96">
        <f t="shared" si="13"/>
        <v>129</v>
      </c>
      <c r="B146" s="97">
        <f aca="true" t="shared" si="18" ref="B146:B209">IF(Pay_Num&lt;&gt;"",DATE(YEAR(Loan_Start),MONTH(Loan_Start)+(Pay_Num)*12/Num_Pmt_Per_Year,DAY(Loan_Start)),"")</f>
        <v>44105</v>
      </c>
      <c r="C146" s="100">
        <f t="shared" si="16"/>
        <v>0</v>
      </c>
      <c r="D146" s="100">
        <f t="shared" si="17"/>
        <v>119.26359149900578</v>
      </c>
      <c r="E146" s="101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100">
        <f aca="true" t="shared" si="20" ref="F146:F209">IF(AND(Pay_Num&lt;&gt;"",Sched_Pay+Extra_Pay&lt;Beg_Bal),Sched_Pay+Extra_Pay,IF(Pay_Num&lt;&gt;"",Beg_Bal,""))</f>
        <v>0</v>
      </c>
      <c r="G146" s="100">
        <f t="shared" si="14"/>
        <v>0</v>
      </c>
      <c r="H146" s="100">
        <f t="shared" si="15"/>
        <v>0</v>
      </c>
      <c r="I146" s="100">
        <f aca="true" t="shared" si="21" ref="I146:I209">IF(AND(Pay_Num&lt;&gt;"",Sched_Pay+Extra_Pay&lt;Beg_Bal),Beg_Bal-Princ,IF(Pay_Num&lt;&gt;"",0,""))</f>
        <v>0</v>
      </c>
      <c r="J146" s="93"/>
      <c r="K146" s="93"/>
    </row>
    <row r="147" spans="1:11" ht="12.75">
      <c r="A147" s="96">
        <f aca="true" t="shared" si="22" ref="A147:A210">IF(Values_Entered,A146+1,"")</f>
        <v>130</v>
      </c>
      <c r="B147" s="97">
        <f t="shared" si="18"/>
        <v>44136</v>
      </c>
      <c r="C147" s="100">
        <f t="shared" si="16"/>
        <v>0</v>
      </c>
      <c r="D147" s="100">
        <f t="shared" si="17"/>
        <v>119.26359149900578</v>
      </c>
      <c r="E147" s="101">
        <f t="shared" si="19"/>
        <v>0</v>
      </c>
      <c r="F147" s="100">
        <f t="shared" si="20"/>
        <v>0</v>
      </c>
      <c r="G147" s="100">
        <f aca="true" t="shared" si="23" ref="G147:G210">IF(Pay_Num&lt;&gt;"",Total_Pay-Int,"")</f>
        <v>0</v>
      </c>
      <c r="H147" s="100">
        <f aca="true" t="shared" si="24" ref="H147:H210">IF(Pay_Num&lt;&gt;"",Beg_Bal*Interest_Rate/Num_Pmt_Per_Year,"")</f>
        <v>0</v>
      </c>
      <c r="I147" s="100">
        <f t="shared" si="21"/>
        <v>0</v>
      </c>
      <c r="J147" s="93"/>
      <c r="K147" s="93"/>
    </row>
    <row r="148" spans="1:11" ht="12.75">
      <c r="A148" s="96">
        <f t="shared" si="22"/>
        <v>131</v>
      </c>
      <c r="B148" s="97">
        <f t="shared" si="18"/>
        <v>44166</v>
      </c>
      <c r="C148" s="100">
        <f aca="true" t="shared" si="25" ref="C148:C211">IF(Pay_Num&lt;&gt;"",I147,"")</f>
        <v>0</v>
      </c>
      <c r="D148" s="100">
        <f aca="true" t="shared" si="26" ref="D148:D211">IF(Pay_Num&lt;&gt;"",Scheduled_Monthly_Payment,"")</f>
        <v>119.26359149900578</v>
      </c>
      <c r="E148" s="101">
        <f t="shared" si="19"/>
        <v>0</v>
      </c>
      <c r="F148" s="100">
        <f t="shared" si="20"/>
        <v>0</v>
      </c>
      <c r="G148" s="100">
        <f t="shared" si="23"/>
        <v>0</v>
      </c>
      <c r="H148" s="100">
        <f t="shared" si="24"/>
        <v>0</v>
      </c>
      <c r="I148" s="100">
        <f t="shared" si="21"/>
        <v>0</v>
      </c>
      <c r="J148" s="93"/>
      <c r="K148" s="93"/>
    </row>
    <row r="149" spans="1:11" ht="12.75">
      <c r="A149" s="96">
        <f t="shared" si="22"/>
        <v>132</v>
      </c>
      <c r="B149" s="97">
        <f t="shared" si="18"/>
        <v>44197</v>
      </c>
      <c r="C149" s="100">
        <f t="shared" si="25"/>
        <v>0</v>
      </c>
      <c r="D149" s="100">
        <f t="shared" si="26"/>
        <v>119.26359149900578</v>
      </c>
      <c r="E149" s="101">
        <f t="shared" si="19"/>
        <v>0</v>
      </c>
      <c r="F149" s="100">
        <f t="shared" si="20"/>
        <v>0</v>
      </c>
      <c r="G149" s="100">
        <f t="shared" si="23"/>
        <v>0</v>
      </c>
      <c r="H149" s="100">
        <f t="shared" si="24"/>
        <v>0</v>
      </c>
      <c r="I149" s="100">
        <f t="shared" si="21"/>
        <v>0</v>
      </c>
      <c r="J149" s="93"/>
      <c r="K149" s="93"/>
    </row>
    <row r="150" spans="1:11" ht="12.75">
      <c r="A150" s="96">
        <f t="shared" si="22"/>
        <v>133</v>
      </c>
      <c r="B150" s="97">
        <f t="shared" si="18"/>
        <v>44228</v>
      </c>
      <c r="C150" s="100">
        <f t="shared" si="25"/>
        <v>0</v>
      </c>
      <c r="D150" s="100">
        <f t="shared" si="26"/>
        <v>119.26359149900578</v>
      </c>
      <c r="E150" s="101">
        <f t="shared" si="19"/>
        <v>0</v>
      </c>
      <c r="F150" s="100">
        <f t="shared" si="20"/>
        <v>0</v>
      </c>
      <c r="G150" s="100">
        <f t="shared" si="23"/>
        <v>0</v>
      </c>
      <c r="H150" s="100">
        <f t="shared" si="24"/>
        <v>0</v>
      </c>
      <c r="I150" s="100">
        <f t="shared" si="21"/>
        <v>0</v>
      </c>
      <c r="J150" s="93"/>
      <c r="K150" s="93"/>
    </row>
    <row r="151" spans="1:11" ht="12.75">
      <c r="A151" s="96">
        <f t="shared" si="22"/>
        <v>134</v>
      </c>
      <c r="B151" s="97">
        <f t="shared" si="18"/>
        <v>44256</v>
      </c>
      <c r="C151" s="100">
        <f t="shared" si="25"/>
        <v>0</v>
      </c>
      <c r="D151" s="100">
        <f t="shared" si="26"/>
        <v>119.26359149900578</v>
      </c>
      <c r="E151" s="101">
        <f t="shared" si="19"/>
        <v>0</v>
      </c>
      <c r="F151" s="100">
        <f t="shared" si="20"/>
        <v>0</v>
      </c>
      <c r="G151" s="100">
        <f t="shared" si="23"/>
        <v>0</v>
      </c>
      <c r="H151" s="100">
        <f t="shared" si="24"/>
        <v>0</v>
      </c>
      <c r="I151" s="100">
        <f t="shared" si="21"/>
        <v>0</v>
      </c>
      <c r="J151" s="93"/>
      <c r="K151" s="93"/>
    </row>
    <row r="152" spans="1:11" ht="12.75">
      <c r="A152" s="96">
        <f t="shared" si="22"/>
        <v>135</v>
      </c>
      <c r="B152" s="97">
        <f t="shared" si="18"/>
        <v>44287</v>
      </c>
      <c r="C152" s="100">
        <f t="shared" si="25"/>
        <v>0</v>
      </c>
      <c r="D152" s="100">
        <f t="shared" si="26"/>
        <v>119.26359149900578</v>
      </c>
      <c r="E152" s="101">
        <f t="shared" si="19"/>
        <v>0</v>
      </c>
      <c r="F152" s="100">
        <f t="shared" si="20"/>
        <v>0</v>
      </c>
      <c r="G152" s="100">
        <f t="shared" si="23"/>
        <v>0</v>
      </c>
      <c r="H152" s="100">
        <f t="shared" si="24"/>
        <v>0</v>
      </c>
      <c r="I152" s="100">
        <f t="shared" si="21"/>
        <v>0</v>
      </c>
      <c r="J152" s="93"/>
      <c r="K152" s="93"/>
    </row>
    <row r="153" spans="1:11" ht="12.75">
      <c r="A153" s="96">
        <f t="shared" si="22"/>
        <v>136</v>
      </c>
      <c r="B153" s="97">
        <f t="shared" si="18"/>
        <v>44317</v>
      </c>
      <c r="C153" s="100">
        <f t="shared" si="25"/>
        <v>0</v>
      </c>
      <c r="D153" s="100">
        <f t="shared" si="26"/>
        <v>119.26359149900578</v>
      </c>
      <c r="E153" s="101">
        <f t="shared" si="19"/>
        <v>0</v>
      </c>
      <c r="F153" s="100">
        <f t="shared" si="20"/>
        <v>0</v>
      </c>
      <c r="G153" s="100">
        <f t="shared" si="23"/>
        <v>0</v>
      </c>
      <c r="H153" s="100">
        <f t="shared" si="24"/>
        <v>0</v>
      </c>
      <c r="I153" s="100">
        <f t="shared" si="21"/>
        <v>0</v>
      </c>
      <c r="J153" s="93"/>
      <c r="K153" s="93"/>
    </row>
    <row r="154" spans="1:11" ht="12.75">
      <c r="A154" s="96">
        <f t="shared" si="22"/>
        <v>137</v>
      </c>
      <c r="B154" s="97">
        <f t="shared" si="18"/>
        <v>44348</v>
      </c>
      <c r="C154" s="100">
        <f t="shared" si="25"/>
        <v>0</v>
      </c>
      <c r="D154" s="100">
        <f t="shared" si="26"/>
        <v>119.26359149900578</v>
      </c>
      <c r="E154" s="101">
        <f t="shared" si="19"/>
        <v>0</v>
      </c>
      <c r="F154" s="100">
        <f t="shared" si="20"/>
        <v>0</v>
      </c>
      <c r="G154" s="100">
        <f t="shared" si="23"/>
        <v>0</v>
      </c>
      <c r="H154" s="100">
        <f t="shared" si="24"/>
        <v>0</v>
      </c>
      <c r="I154" s="100">
        <f t="shared" si="21"/>
        <v>0</v>
      </c>
      <c r="J154" s="93"/>
      <c r="K154" s="93"/>
    </row>
    <row r="155" spans="1:11" ht="12.75">
      <c r="A155" s="96">
        <f t="shared" si="22"/>
        <v>138</v>
      </c>
      <c r="B155" s="97">
        <f t="shared" si="18"/>
        <v>44378</v>
      </c>
      <c r="C155" s="100">
        <f t="shared" si="25"/>
        <v>0</v>
      </c>
      <c r="D155" s="100">
        <f t="shared" si="26"/>
        <v>119.26359149900578</v>
      </c>
      <c r="E155" s="101">
        <f t="shared" si="19"/>
        <v>0</v>
      </c>
      <c r="F155" s="100">
        <f t="shared" si="20"/>
        <v>0</v>
      </c>
      <c r="G155" s="100">
        <f t="shared" si="23"/>
        <v>0</v>
      </c>
      <c r="H155" s="100">
        <f t="shared" si="24"/>
        <v>0</v>
      </c>
      <c r="I155" s="100">
        <f t="shared" si="21"/>
        <v>0</v>
      </c>
      <c r="J155" s="93"/>
      <c r="K155" s="93"/>
    </row>
    <row r="156" spans="1:11" ht="12.75">
      <c r="A156" s="96">
        <f t="shared" si="22"/>
        <v>139</v>
      </c>
      <c r="B156" s="97">
        <f t="shared" si="18"/>
        <v>44409</v>
      </c>
      <c r="C156" s="100">
        <f t="shared" si="25"/>
        <v>0</v>
      </c>
      <c r="D156" s="100">
        <f t="shared" si="26"/>
        <v>119.26359149900578</v>
      </c>
      <c r="E156" s="101">
        <f t="shared" si="19"/>
        <v>0</v>
      </c>
      <c r="F156" s="100">
        <f t="shared" si="20"/>
        <v>0</v>
      </c>
      <c r="G156" s="100">
        <f t="shared" si="23"/>
        <v>0</v>
      </c>
      <c r="H156" s="100">
        <f t="shared" si="24"/>
        <v>0</v>
      </c>
      <c r="I156" s="100">
        <f t="shared" si="21"/>
        <v>0</v>
      </c>
      <c r="J156" s="93"/>
      <c r="K156" s="93"/>
    </row>
    <row r="157" spans="1:11" ht="12.75">
      <c r="A157" s="96">
        <f t="shared" si="22"/>
        <v>140</v>
      </c>
      <c r="B157" s="97">
        <f t="shared" si="18"/>
        <v>44440</v>
      </c>
      <c r="C157" s="100">
        <f t="shared" si="25"/>
        <v>0</v>
      </c>
      <c r="D157" s="100">
        <f t="shared" si="26"/>
        <v>119.26359149900578</v>
      </c>
      <c r="E157" s="101">
        <f t="shared" si="19"/>
        <v>0</v>
      </c>
      <c r="F157" s="100">
        <f t="shared" si="20"/>
        <v>0</v>
      </c>
      <c r="G157" s="100">
        <f t="shared" si="23"/>
        <v>0</v>
      </c>
      <c r="H157" s="100">
        <f t="shared" si="24"/>
        <v>0</v>
      </c>
      <c r="I157" s="100">
        <f t="shared" si="21"/>
        <v>0</v>
      </c>
      <c r="J157" s="93"/>
      <c r="K157" s="93"/>
    </row>
    <row r="158" spans="1:11" ht="12.75">
      <c r="A158" s="96">
        <f t="shared" si="22"/>
        <v>141</v>
      </c>
      <c r="B158" s="97">
        <f t="shared" si="18"/>
        <v>44470</v>
      </c>
      <c r="C158" s="100">
        <f t="shared" si="25"/>
        <v>0</v>
      </c>
      <c r="D158" s="100">
        <f t="shared" si="26"/>
        <v>119.26359149900578</v>
      </c>
      <c r="E158" s="101">
        <f t="shared" si="19"/>
        <v>0</v>
      </c>
      <c r="F158" s="100">
        <f t="shared" si="20"/>
        <v>0</v>
      </c>
      <c r="G158" s="100">
        <f t="shared" si="23"/>
        <v>0</v>
      </c>
      <c r="H158" s="100">
        <f t="shared" si="24"/>
        <v>0</v>
      </c>
      <c r="I158" s="100">
        <f t="shared" si="21"/>
        <v>0</v>
      </c>
      <c r="J158" s="93"/>
      <c r="K158" s="93"/>
    </row>
    <row r="159" spans="1:11" ht="12.75">
      <c r="A159" s="96">
        <f t="shared" si="22"/>
        <v>142</v>
      </c>
      <c r="B159" s="97">
        <f t="shared" si="18"/>
        <v>44501</v>
      </c>
      <c r="C159" s="100">
        <f t="shared" si="25"/>
        <v>0</v>
      </c>
      <c r="D159" s="100">
        <f t="shared" si="26"/>
        <v>119.26359149900578</v>
      </c>
      <c r="E159" s="101">
        <f t="shared" si="19"/>
        <v>0</v>
      </c>
      <c r="F159" s="100">
        <f t="shared" si="20"/>
        <v>0</v>
      </c>
      <c r="G159" s="100">
        <f t="shared" si="23"/>
        <v>0</v>
      </c>
      <c r="H159" s="100">
        <f t="shared" si="24"/>
        <v>0</v>
      </c>
      <c r="I159" s="100">
        <f t="shared" si="21"/>
        <v>0</v>
      </c>
      <c r="J159" s="93"/>
      <c r="K159" s="93"/>
    </row>
    <row r="160" spans="1:11" ht="12.75">
      <c r="A160" s="96">
        <f t="shared" si="22"/>
        <v>143</v>
      </c>
      <c r="B160" s="97">
        <f t="shared" si="18"/>
        <v>44531</v>
      </c>
      <c r="C160" s="100">
        <f t="shared" si="25"/>
        <v>0</v>
      </c>
      <c r="D160" s="100">
        <f t="shared" si="26"/>
        <v>119.26359149900578</v>
      </c>
      <c r="E160" s="101">
        <f t="shared" si="19"/>
        <v>0</v>
      </c>
      <c r="F160" s="100">
        <f t="shared" si="20"/>
        <v>0</v>
      </c>
      <c r="G160" s="100">
        <f t="shared" si="23"/>
        <v>0</v>
      </c>
      <c r="H160" s="100">
        <f t="shared" si="24"/>
        <v>0</v>
      </c>
      <c r="I160" s="100">
        <f t="shared" si="21"/>
        <v>0</v>
      </c>
      <c r="J160" s="93"/>
      <c r="K160" s="93"/>
    </row>
    <row r="161" spans="1:11" ht="12.75">
      <c r="A161" s="96">
        <f t="shared" si="22"/>
        <v>144</v>
      </c>
      <c r="B161" s="97">
        <f t="shared" si="18"/>
        <v>44562</v>
      </c>
      <c r="C161" s="100">
        <f t="shared" si="25"/>
        <v>0</v>
      </c>
      <c r="D161" s="100">
        <f t="shared" si="26"/>
        <v>119.26359149900578</v>
      </c>
      <c r="E161" s="101">
        <f t="shared" si="19"/>
        <v>0</v>
      </c>
      <c r="F161" s="100">
        <f t="shared" si="20"/>
        <v>0</v>
      </c>
      <c r="G161" s="100">
        <f t="shared" si="23"/>
        <v>0</v>
      </c>
      <c r="H161" s="100">
        <f t="shared" si="24"/>
        <v>0</v>
      </c>
      <c r="I161" s="100">
        <f t="shared" si="21"/>
        <v>0</v>
      </c>
      <c r="J161" s="93"/>
      <c r="K161" s="93"/>
    </row>
    <row r="162" spans="1:11" ht="12.75">
      <c r="A162" s="96">
        <f t="shared" si="22"/>
        <v>145</v>
      </c>
      <c r="B162" s="97">
        <f t="shared" si="18"/>
        <v>44593</v>
      </c>
      <c r="C162" s="100">
        <f t="shared" si="25"/>
        <v>0</v>
      </c>
      <c r="D162" s="100">
        <f t="shared" si="26"/>
        <v>119.26359149900578</v>
      </c>
      <c r="E162" s="101">
        <f t="shared" si="19"/>
        <v>0</v>
      </c>
      <c r="F162" s="100">
        <f t="shared" si="20"/>
        <v>0</v>
      </c>
      <c r="G162" s="100">
        <f t="shared" si="23"/>
        <v>0</v>
      </c>
      <c r="H162" s="100">
        <f t="shared" si="24"/>
        <v>0</v>
      </c>
      <c r="I162" s="100">
        <f t="shared" si="21"/>
        <v>0</v>
      </c>
      <c r="J162" s="93"/>
      <c r="K162" s="93"/>
    </row>
    <row r="163" spans="1:11" ht="12.75">
      <c r="A163" s="96">
        <f t="shared" si="22"/>
        <v>146</v>
      </c>
      <c r="B163" s="97">
        <f t="shared" si="18"/>
        <v>44621</v>
      </c>
      <c r="C163" s="100">
        <f t="shared" si="25"/>
        <v>0</v>
      </c>
      <c r="D163" s="100">
        <f t="shared" si="26"/>
        <v>119.26359149900578</v>
      </c>
      <c r="E163" s="101">
        <f t="shared" si="19"/>
        <v>0</v>
      </c>
      <c r="F163" s="100">
        <f t="shared" si="20"/>
        <v>0</v>
      </c>
      <c r="G163" s="100">
        <f t="shared" si="23"/>
        <v>0</v>
      </c>
      <c r="H163" s="100">
        <f t="shared" si="24"/>
        <v>0</v>
      </c>
      <c r="I163" s="100">
        <f t="shared" si="21"/>
        <v>0</v>
      </c>
      <c r="J163" s="93"/>
      <c r="K163" s="93"/>
    </row>
    <row r="164" spans="1:11" ht="12.75">
      <c r="A164" s="96">
        <f t="shared" si="22"/>
        <v>147</v>
      </c>
      <c r="B164" s="97">
        <f t="shared" si="18"/>
        <v>44652</v>
      </c>
      <c r="C164" s="100">
        <f t="shared" si="25"/>
        <v>0</v>
      </c>
      <c r="D164" s="100">
        <f t="shared" si="26"/>
        <v>119.26359149900578</v>
      </c>
      <c r="E164" s="101">
        <f t="shared" si="19"/>
        <v>0</v>
      </c>
      <c r="F164" s="100">
        <f t="shared" si="20"/>
        <v>0</v>
      </c>
      <c r="G164" s="100">
        <f t="shared" si="23"/>
        <v>0</v>
      </c>
      <c r="H164" s="100">
        <f t="shared" si="24"/>
        <v>0</v>
      </c>
      <c r="I164" s="100">
        <f t="shared" si="21"/>
        <v>0</v>
      </c>
      <c r="J164" s="93"/>
      <c r="K164" s="93"/>
    </row>
    <row r="165" spans="1:11" ht="12.75">
      <c r="A165" s="96">
        <f t="shared" si="22"/>
        <v>148</v>
      </c>
      <c r="B165" s="97">
        <f t="shared" si="18"/>
        <v>44682</v>
      </c>
      <c r="C165" s="100">
        <f t="shared" si="25"/>
        <v>0</v>
      </c>
      <c r="D165" s="100">
        <f t="shared" si="26"/>
        <v>119.26359149900578</v>
      </c>
      <c r="E165" s="101">
        <f t="shared" si="19"/>
        <v>0</v>
      </c>
      <c r="F165" s="100">
        <f t="shared" si="20"/>
        <v>0</v>
      </c>
      <c r="G165" s="100">
        <f t="shared" si="23"/>
        <v>0</v>
      </c>
      <c r="H165" s="100">
        <f t="shared" si="24"/>
        <v>0</v>
      </c>
      <c r="I165" s="100">
        <f t="shared" si="21"/>
        <v>0</v>
      </c>
      <c r="J165" s="93"/>
      <c r="K165" s="93"/>
    </row>
    <row r="166" spans="1:11" ht="12.75">
      <c r="A166" s="96">
        <f t="shared" si="22"/>
        <v>149</v>
      </c>
      <c r="B166" s="97">
        <f t="shared" si="18"/>
        <v>44713</v>
      </c>
      <c r="C166" s="100">
        <f t="shared" si="25"/>
        <v>0</v>
      </c>
      <c r="D166" s="100">
        <f t="shared" si="26"/>
        <v>119.26359149900578</v>
      </c>
      <c r="E166" s="101">
        <f t="shared" si="19"/>
        <v>0</v>
      </c>
      <c r="F166" s="100">
        <f t="shared" si="20"/>
        <v>0</v>
      </c>
      <c r="G166" s="100">
        <f t="shared" si="23"/>
        <v>0</v>
      </c>
      <c r="H166" s="100">
        <f t="shared" si="24"/>
        <v>0</v>
      </c>
      <c r="I166" s="100">
        <f t="shared" si="21"/>
        <v>0</v>
      </c>
      <c r="J166" s="93"/>
      <c r="K166" s="93"/>
    </row>
    <row r="167" spans="1:11" ht="12.75">
      <c r="A167" s="96">
        <f t="shared" si="22"/>
        <v>150</v>
      </c>
      <c r="B167" s="97">
        <f t="shared" si="18"/>
        <v>44743</v>
      </c>
      <c r="C167" s="100">
        <f t="shared" si="25"/>
        <v>0</v>
      </c>
      <c r="D167" s="100">
        <f t="shared" si="26"/>
        <v>119.26359149900578</v>
      </c>
      <c r="E167" s="101">
        <f t="shared" si="19"/>
        <v>0</v>
      </c>
      <c r="F167" s="100">
        <f t="shared" si="20"/>
        <v>0</v>
      </c>
      <c r="G167" s="100">
        <f t="shared" si="23"/>
        <v>0</v>
      </c>
      <c r="H167" s="100">
        <f t="shared" si="24"/>
        <v>0</v>
      </c>
      <c r="I167" s="100">
        <f t="shared" si="21"/>
        <v>0</v>
      </c>
      <c r="J167" s="93"/>
      <c r="K167" s="93"/>
    </row>
    <row r="168" spans="1:11" ht="12.75">
      <c r="A168" s="96">
        <f t="shared" si="22"/>
        <v>151</v>
      </c>
      <c r="B168" s="97">
        <f t="shared" si="18"/>
        <v>44774</v>
      </c>
      <c r="C168" s="100">
        <f t="shared" si="25"/>
        <v>0</v>
      </c>
      <c r="D168" s="100">
        <f t="shared" si="26"/>
        <v>119.26359149900578</v>
      </c>
      <c r="E168" s="101">
        <f t="shared" si="19"/>
        <v>0</v>
      </c>
      <c r="F168" s="100">
        <f t="shared" si="20"/>
        <v>0</v>
      </c>
      <c r="G168" s="100">
        <f t="shared" si="23"/>
        <v>0</v>
      </c>
      <c r="H168" s="100">
        <f t="shared" si="24"/>
        <v>0</v>
      </c>
      <c r="I168" s="100">
        <f t="shared" si="21"/>
        <v>0</v>
      </c>
      <c r="J168" s="93"/>
      <c r="K168" s="93"/>
    </row>
    <row r="169" spans="1:11" ht="12.75">
      <c r="A169" s="96">
        <f t="shared" si="22"/>
        <v>152</v>
      </c>
      <c r="B169" s="97">
        <f t="shared" si="18"/>
        <v>44805</v>
      </c>
      <c r="C169" s="100">
        <f t="shared" si="25"/>
        <v>0</v>
      </c>
      <c r="D169" s="100">
        <f t="shared" si="26"/>
        <v>119.26359149900578</v>
      </c>
      <c r="E169" s="101">
        <f t="shared" si="19"/>
        <v>0</v>
      </c>
      <c r="F169" s="100">
        <f t="shared" si="20"/>
        <v>0</v>
      </c>
      <c r="G169" s="100">
        <f t="shared" si="23"/>
        <v>0</v>
      </c>
      <c r="H169" s="100">
        <f t="shared" si="24"/>
        <v>0</v>
      </c>
      <c r="I169" s="100">
        <f t="shared" si="21"/>
        <v>0</v>
      </c>
      <c r="J169" s="93"/>
      <c r="K169" s="93"/>
    </row>
    <row r="170" spans="1:11" ht="12.75">
      <c r="A170" s="96">
        <f t="shared" si="22"/>
        <v>153</v>
      </c>
      <c r="B170" s="97">
        <f t="shared" si="18"/>
        <v>44835</v>
      </c>
      <c r="C170" s="100">
        <f t="shared" si="25"/>
        <v>0</v>
      </c>
      <c r="D170" s="100">
        <f t="shared" si="26"/>
        <v>119.26359149900578</v>
      </c>
      <c r="E170" s="101">
        <f t="shared" si="19"/>
        <v>0</v>
      </c>
      <c r="F170" s="100">
        <f t="shared" si="20"/>
        <v>0</v>
      </c>
      <c r="G170" s="100">
        <f t="shared" si="23"/>
        <v>0</v>
      </c>
      <c r="H170" s="100">
        <f t="shared" si="24"/>
        <v>0</v>
      </c>
      <c r="I170" s="100">
        <f t="shared" si="21"/>
        <v>0</v>
      </c>
      <c r="J170" s="93"/>
      <c r="K170" s="93"/>
    </row>
    <row r="171" spans="1:11" ht="12.75">
      <c r="A171" s="96">
        <f t="shared" si="22"/>
        <v>154</v>
      </c>
      <c r="B171" s="97">
        <f t="shared" si="18"/>
        <v>44866</v>
      </c>
      <c r="C171" s="100">
        <f t="shared" si="25"/>
        <v>0</v>
      </c>
      <c r="D171" s="100">
        <f t="shared" si="26"/>
        <v>119.26359149900578</v>
      </c>
      <c r="E171" s="101">
        <f t="shared" si="19"/>
        <v>0</v>
      </c>
      <c r="F171" s="100">
        <f t="shared" si="20"/>
        <v>0</v>
      </c>
      <c r="G171" s="100">
        <f t="shared" si="23"/>
        <v>0</v>
      </c>
      <c r="H171" s="100">
        <f t="shared" si="24"/>
        <v>0</v>
      </c>
      <c r="I171" s="100">
        <f t="shared" si="21"/>
        <v>0</v>
      </c>
      <c r="J171" s="93"/>
      <c r="K171" s="93"/>
    </row>
    <row r="172" spans="1:11" ht="12.75">
      <c r="A172" s="96">
        <f t="shared" si="22"/>
        <v>155</v>
      </c>
      <c r="B172" s="97">
        <f t="shared" si="18"/>
        <v>44896</v>
      </c>
      <c r="C172" s="100">
        <f t="shared" si="25"/>
        <v>0</v>
      </c>
      <c r="D172" s="100">
        <f t="shared" si="26"/>
        <v>119.26359149900578</v>
      </c>
      <c r="E172" s="101">
        <f t="shared" si="19"/>
        <v>0</v>
      </c>
      <c r="F172" s="100">
        <f t="shared" si="20"/>
        <v>0</v>
      </c>
      <c r="G172" s="100">
        <f t="shared" si="23"/>
        <v>0</v>
      </c>
      <c r="H172" s="100">
        <f t="shared" si="24"/>
        <v>0</v>
      </c>
      <c r="I172" s="100">
        <f t="shared" si="21"/>
        <v>0</v>
      </c>
      <c r="J172" s="93"/>
      <c r="K172" s="93"/>
    </row>
    <row r="173" spans="1:11" ht="12.75">
      <c r="A173" s="96">
        <f t="shared" si="22"/>
        <v>156</v>
      </c>
      <c r="B173" s="97">
        <f t="shared" si="18"/>
        <v>44927</v>
      </c>
      <c r="C173" s="100">
        <f t="shared" si="25"/>
        <v>0</v>
      </c>
      <c r="D173" s="100">
        <f t="shared" si="26"/>
        <v>119.26359149900578</v>
      </c>
      <c r="E173" s="101">
        <f t="shared" si="19"/>
        <v>0</v>
      </c>
      <c r="F173" s="100">
        <f t="shared" si="20"/>
        <v>0</v>
      </c>
      <c r="G173" s="100">
        <f t="shared" si="23"/>
        <v>0</v>
      </c>
      <c r="H173" s="100">
        <f t="shared" si="24"/>
        <v>0</v>
      </c>
      <c r="I173" s="100">
        <f t="shared" si="21"/>
        <v>0</v>
      </c>
      <c r="J173" s="93"/>
      <c r="K173" s="93"/>
    </row>
    <row r="174" spans="1:11" ht="12.75">
      <c r="A174" s="96">
        <f t="shared" si="22"/>
        <v>157</v>
      </c>
      <c r="B174" s="97">
        <f t="shared" si="18"/>
        <v>44958</v>
      </c>
      <c r="C174" s="100">
        <f t="shared" si="25"/>
        <v>0</v>
      </c>
      <c r="D174" s="100">
        <f t="shared" si="26"/>
        <v>119.26359149900578</v>
      </c>
      <c r="E174" s="101">
        <f t="shared" si="19"/>
        <v>0</v>
      </c>
      <c r="F174" s="100">
        <f t="shared" si="20"/>
        <v>0</v>
      </c>
      <c r="G174" s="100">
        <f t="shared" si="23"/>
        <v>0</v>
      </c>
      <c r="H174" s="100">
        <f t="shared" si="24"/>
        <v>0</v>
      </c>
      <c r="I174" s="100">
        <f t="shared" si="21"/>
        <v>0</v>
      </c>
      <c r="J174" s="93"/>
      <c r="K174" s="93"/>
    </row>
    <row r="175" spans="1:11" ht="12.75">
      <c r="A175" s="96">
        <f t="shared" si="22"/>
        <v>158</v>
      </c>
      <c r="B175" s="97">
        <f t="shared" si="18"/>
        <v>44986</v>
      </c>
      <c r="C175" s="100">
        <f t="shared" si="25"/>
        <v>0</v>
      </c>
      <c r="D175" s="100">
        <f t="shared" si="26"/>
        <v>119.26359149900578</v>
      </c>
      <c r="E175" s="101">
        <f t="shared" si="19"/>
        <v>0</v>
      </c>
      <c r="F175" s="100">
        <f t="shared" si="20"/>
        <v>0</v>
      </c>
      <c r="G175" s="100">
        <f t="shared" si="23"/>
        <v>0</v>
      </c>
      <c r="H175" s="100">
        <f t="shared" si="24"/>
        <v>0</v>
      </c>
      <c r="I175" s="100">
        <f t="shared" si="21"/>
        <v>0</v>
      </c>
      <c r="J175" s="93"/>
      <c r="K175" s="93"/>
    </row>
    <row r="176" spans="1:11" ht="12.75">
      <c r="A176" s="96">
        <f t="shared" si="22"/>
        <v>159</v>
      </c>
      <c r="B176" s="97">
        <f t="shared" si="18"/>
        <v>45017</v>
      </c>
      <c r="C176" s="100">
        <f t="shared" si="25"/>
        <v>0</v>
      </c>
      <c r="D176" s="100">
        <f t="shared" si="26"/>
        <v>119.26359149900578</v>
      </c>
      <c r="E176" s="101">
        <f t="shared" si="19"/>
        <v>0</v>
      </c>
      <c r="F176" s="100">
        <f t="shared" si="20"/>
        <v>0</v>
      </c>
      <c r="G176" s="100">
        <f t="shared" si="23"/>
        <v>0</v>
      </c>
      <c r="H176" s="100">
        <f t="shared" si="24"/>
        <v>0</v>
      </c>
      <c r="I176" s="100">
        <f t="shared" si="21"/>
        <v>0</v>
      </c>
      <c r="J176" s="93"/>
      <c r="K176" s="93"/>
    </row>
    <row r="177" spans="1:11" ht="12.75">
      <c r="A177" s="96">
        <f t="shared" si="22"/>
        <v>160</v>
      </c>
      <c r="B177" s="97">
        <f t="shared" si="18"/>
        <v>45047</v>
      </c>
      <c r="C177" s="100">
        <f t="shared" si="25"/>
        <v>0</v>
      </c>
      <c r="D177" s="100">
        <f t="shared" si="26"/>
        <v>119.26359149900578</v>
      </c>
      <c r="E177" s="101">
        <f t="shared" si="19"/>
        <v>0</v>
      </c>
      <c r="F177" s="100">
        <f t="shared" si="20"/>
        <v>0</v>
      </c>
      <c r="G177" s="100">
        <f t="shared" si="23"/>
        <v>0</v>
      </c>
      <c r="H177" s="100">
        <f t="shared" si="24"/>
        <v>0</v>
      </c>
      <c r="I177" s="100">
        <f t="shared" si="21"/>
        <v>0</v>
      </c>
      <c r="J177" s="93"/>
      <c r="K177" s="93"/>
    </row>
    <row r="178" spans="1:11" ht="12.75">
      <c r="A178" s="96">
        <f t="shared" si="22"/>
        <v>161</v>
      </c>
      <c r="B178" s="97">
        <f t="shared" si="18"/>
        <v>45078</v>
      </c>
      <c r="C178" s="100">
        <f t="shared" si="25"/>
        <v>0</v>
      </c>
      <c r="D178" s="100">
        <f t="shared" si="26"/>
        <v>119.26359149900578</v>
      </c>
      <c r="E178" s="101">
        <f t="shared" si="19"/>
        <v>0</v>
      </c>
      <c r="F178" s="100">
        <f t="shared" si="20"/>
        <v>0</v>
      </c>
      <c r="G178" s="100">
        <f t="shared" si="23"/>
        <v>0</v>
      </c>
      <c r="H178" s="100">
        <f t="shared" si="24"/>
        <v>0</v>
      </c>
      <c r="I178" s="100">
        <f t="shared" si="21"/>
        <v>0</v>
      </c>
      <c r="J178" s="93"/>
      <c r="K178" s="93"/>
    </row>
    <row r="179" spans="1:11" ht="12.75">
      <c r="A179" s="96">
        <f t="shared" si="22"/>
        <v>162</v>
      </c>
      <c r="B179" s="97">
        <f t="shared" si="18"/>
        <v>45108</v>
      </c>
      <c r="C179" s="100">
        <f t="shared" si="25"/>
        <v>0</v>
      </c>
      <c r="D179" s="100">
        <f t="shared" si="26"/>
        <v>119.26359149900578</v>
      </c>
      <c r="E179" s="101">
        <f t="shared" si="19"/>
        <v>0</v>
      </c>
      <c r="F179" s="100">
        <f t="shared" si="20"/>
        <v>0</v>
      </c>
      <c r="G179" s="100">
        <f t="shared" si="23"/>
        <v>0</v>
      </c>
      <c r="H179" s="100">
        <f t="shared" si="24"/>
        <v>0</v>
      </c>
      <c r="I179" s="100">
        <f t="shared" si="21"/>
        <v>0</v>
      </c>
      <c r="J179" s="93"/>
      <c r="K179" s="93"/>
    </row>
    <row r="180" spans="1:11" ht="12.75">
      <c r="A180" s="96">
        <f t="shared" si="22"/>
        <v>163</v>
      </c>
      <c r="B180" s="97">
        <f t="shared" si="18"/>
        <v>45139</v>
      </c>
      <c r="C180" s="100">
        <f t="shared" si="25"/>
        <v>0</v>
      </c>
      <c r="D180" s="100">
        <f t="shared" si="26"/>
        <v>119.26359149900578</v>
      </c>
      <c r="E180" s="101">
        <f t="shared" si="19"/>
        <v>0</v>
      </c>
      <c r="F180" s="100">
        <f t="shared" si="20"/>
        <v>0</v>
      </c>
      <c r="G180" s="100">
        <f t="shared" si="23"/>
        <v>0</v>
      </c>
      <c r="H180" s="100">
        <f t="shared" si="24"/>
        <v>0</v>
      </c>
      <c r="I180" s="100">
        <f t="shared" si="21"/>
        <v>0</v>
      </c>
      <c r="J180" s="93"/>
      <c r="K180" s="93"/>
    </row>
    <row r="181" spans="1:11" ht="12.75">
      <c r="A181" s="96">
        <f t="shared" si="22"/>
        <v>164</v>
      </c>
      <c r="B181" s="97">
        <f t="shared" si="18"/>
        <v>45170</v>
      </c>
      <c r="C181" s="100">
        <f t="shared" si="25"/>
        <v>0</v>
      </c>
      <c r="D181" s="100">
        <f t="shared" si="26"/>
        <v>119.26359149900578</v>
      </c>
      <c r="E181" s="101">
        <f t="shared" si="19"/>
        <v>0</v>
      </c>
      <c r="F181" s="100">
        <f t="shared" si="20"/>
        <v>0</v>
      </c>
      <c r="G181" s="100">
        <f t="shared" si="23"/>
        <v>0</v>
      </c>
      <c r="H181" s="100">
        <f t="shared" si="24"/>
        <v>0</v>
      </c>
      <c r="I181" s="100">
        <f t="shared" si="21"/>
        <v>0</v>
      </c>
      <c r="J181" s="93"/>
      <c r="K181" s="93"/>
    </row>
    <row r="182" spans="1:11" ht="12.75">
      <c r="A182" s="96">
        <f t="shared" si="22"/>
        <v>165</v>
      </c>
      <c r="B182" s="97">
        <f t="shared" si="18"/>
        <v>45200</v>
      </c>
      <c r="C182" s="100">
        <f t="shared" si="25"/>
        <v>0</v>
      </c>
      <c r="D182" s="100">
        <f t="shared" si="26"/>
        <v>119.26359149900578</v>
      </c>
      <c r="E182" s="101">
        <f t="shared" si="19"/>
        <v>0</v>
      </c>
      <c r="F182" s="100">
        <f t="shared" si="20"/>
        <v>0</v>
      </c>
      <c r="G182" s="100">
        <f t="shared" si="23"/>
        <v>0</v>
      </c>
      <c r="H182" s="100">
        <f t="shared" si="24"/>
        <v>0</v>
      </c>
      <c r="I182" s="100">
        <f t="shared" si="21"/>
        <v>0</v>
      </c>
      <c r="J182" s="93"/>
      <c r="K182" s="93"/>
    </row>
    <row r="183" spans="1:11" ht="12.75">
      <c r="A183" s="96">
        <f t="shared" si="22"/>
        <v>166</v>
      </c>
      <c r="B183" s="97">
        <f t="shared" si="18"/>
        <v>45231</v>
      </c>
      <c r="C183" s="100">
        <f t="shared" si="25"/>
        <v>0</v>
      </c>
      <c r="D183" s="100">
        <f t="shared" si="26"/>
        <v>119.26359149900578</v>
      </c>
      <c r="E183" s="101">
        <f t="shared" si="19"/>
        <v>0</v>
      </c>
      <c r="F183" s="100">
        <f t="shared" si="20"/>
        <v>0</v>
      </c>
      <c r="G183" s="100">
        <f t="shared" si="23"/>
        <v>0</v>
      </c>
      <c r="H183" s="100">
        <f t="shared" si="24"/>
        <v>0</v>
      </c>
      <c r="I183" s="100">
        <f t="shared" si="21"/>
        <v>0</v>
      </c>
      <c r="J183" s="93"/>
      <c r="K183" s="93"/>
    </row>
    <row r="184" spans="1:11" ht="12.75">
      <c r="A184" s="96">
        <f t="shared" si="22"/>
        <v>167</v>
      </c>
      <c r="B184" s="97">
        <f t="shared" si="18"/>
        <v>45261</v>
      </c>
      <c r="C184" s="100">
        <f t="shared" si="25"/>
        <v>0</v>
      </c>
      <c r="D184" s="100">
        <f t="shared" si="26"/>
        <v>119.26359149900578</v>
      </c>
      <c r="E184" s="101">
        <f t="shared" si="19"/>
        <v>0</v>
      </c>
      <c r="F184" s="100">
        <f t="shared" si="20"/>
        <v>0</v>
      </c>
      <c r="G184" s="100">
        <f t="shared" si="23"/>
        <v>0</v>
      </c>
      <c r="H184" s="100">
        <f t="shared" si="24"/>
        <v>0</v>
      </c>
      <c r="I184" s="100">
        <f t="shared" si="21"/>
        <v>0</v>
      </c>
      <c r="J184" s="93"/>
      <c r="K184" s="93"/>
    </row>
    <row r="185" spans="1:11" ht="12.75">
      <c r="A185" s="96">
        <f t="shared" si="22"/>
        <v>168</v>
      </c>
      <c r="B185" s="97">
        <f t="shared" si="18"/>
        <v>45292</v>
      </c>
      <c r="C185" s="100">
        <f t="shared" si="25"/>
        <v>0</v>
      </c>
      <c r="D185" s="100">
        <f t="shared" si="26"/>
        <v>119.26359149900578</v>
      </c>
      <c r="E185" s="101">
        <f t="shared" si="19"/>
        <v>0</v>
      </c>
      <c r="F185" s="100">
        <f t="shared" si="20"/>
        <v>0</v>
      </c>
      <c r="G185" s="100">
        <f t="shared" si="23"/>
        <v>0</v>
      </c>
      <c r="H185" s="100">
        <f t="shared" si="24"/>
        <v>0</v>
      </c>
      <c r="I185" s="100">
        <f t="shared" si="21"/>
        <v>0</v>
      </c>
      <c r="J185" s="93"/>
      <c r="K185" s="93"/>
    </row>
    <row r="186" spans="1:11" ht="12.75">
      <c r="A186" s="96">
        <f t="shared" si="22"/>
        <v>169</v>
      </c>
      <c r="B186" s="97">
        <f t="shared" si="18"/>
        <v>45323</v>
      </c>
      <c r="C186" s="100">
        <f t="shared" si="25"/>
        <v>0</v>
      </c>
      <c r="D186" s="100">
        <f t="shared" si="26"/>
        <v>119.26359149900578</v>
      </c>
      <c r="E186" s="101">
        <f t="shared" si="19"/>
        <v>0</v>
      </c>
      <c r="F186" s="100">
        <f t="shared" si="20"/>
        <v>0</v>
      </c>
      <c r="G186" s="100">
        <f t="shared" si="23"/>
        <v>0</v>
      </c>
      <c r="H186" s="100">
        <f t="shared" si="24"/>
        <v>0</v>
      </c>
      <c r="I186" s="100">
        <f t="shared" si="21"/>
        <v>0</v>
      </c>
      <c r="J186" s="93"/>
      <c r="K186" s="93"/>
    </row>
    <row r="187" spans="1:11" ht="12.75">
      <c r="A187" s="96">
        <f t="shared" si="22"/>
        <v>170</v>
      </c>
      <c r="B187" s="97">
        <f t="shared" si="18"/>
        <v>45352</v>
      </c>
      <c r="C187" s="100">
        <f t="shared" si="25"/>
        <v>0</v>
      </c>
      <c r="D187" s="100">
        <f t="shared" si="26"/>
        <v>119.26359149900578</v>
      </c>
      <c r="E187" s="101">
        <f t="shared" si="19"/>
        <v>0</v>
      </c>
      <c r="F187" s="100">
        <f t="shared" si="20"/>
        <v>0</v>
      </c>
      <c r="G187" s="100">
        <f t="shared" si="23"/>
        <v>0</v>
      </c>
      <c r="H187" s="100">
        <f t="shared" si="24"/>
        <v>0</v>
      </c>
      <c r="I187" s="100">
        <f t="shared" si="21"/>
        <v>0</v>
      </c>
      <c r="J187" s="93"/>
      <c r="K187" s="93"/>
    </row>
    <row r="188" spans="1:11" ht="12.75">
      <c r="A188" s="96">
        <f t="shared" si="22"/>
        <v>171</v>
      </c>
      <c r="B188" s="97">
        <f t="shared" si="18"/>
        <v>45383</v>
      </c>
      <c r="C188" s="100">
        <f t="shared" si="25"/>
        <v>0</v>
      </c>
      <c r="D188" s="100">
        <f t="shared" si="26"/>
        <v>119.26359149900578</v>
      </c>
      <c r="E188" s="101">
        <f t="shared" si="19"/>
        <v>0</v>
      </c>
      <c r="F188" s="100">
        <f t="shared" si="20"/>
        <v>0</v>
      </c>
      <c r="G188" s="100">
        <f t="shared" si="23"/>
        <v>0</v>
      </c>
      <c r="H188" s="100">
        <f t="shared" si="24"/>
        <v>0</v>
      </c>
      <c r="I188" s="100">
        <f t="shared" si="21"/>
        <v>0</v>
      </c>
      <c r="J188" s="93"/>
      <c r="K188" s="93"/>
    </row>
    <row r="189" spans="1:11" ht="12.75">
      <c r="A189" s="96">
        <f t="shared" si="22"/>
        <v>172</v>
      </c>
      <c r="B189" s="97">
        <f t="shared" si="18"/>
        <v>45413</v>
      </c>
      <c r="C189" s="100">
        <f t="shared" si="25"/>
        <v>0</v>
      </c>
      <c r="D189" s="100">
        <f t="shared" si="26"/>
        <v>119.26359149900578</v>
      </c>
      <c r="E189" s="101">
        <f t="shared" si="19"/>
        <v>0</v>
      </c>
      <c r="F189" s="100">
        <f t="shared" si="20"/>
        <v>0</v>
      </c>
      <c r="G189" s="100">
        <f t="shared" si="23"/>
        <v>0</v>
      </c>
      <c r="H189" s="100">
        <f t="shared" si="24"/>
        <v>0</v>
      </c>
      <c r="I189" s="100">
        <f t="shared" si="21"/>
        <v>0</v>
      </c>
      <c r="J189" s="93"/>
      <c r="K189" s="93"/>
    </row>
    <row r="190" spans="1:11" ht="12.75">
      <c r="A190" s="96">
        <f t="shared" si="22"/>
        <v>173</v>
      </c>
      <c r="B190" s="97">
        <f t="shared" si="18"/>
        <v>45444</v>
      </c>
      <c r="C190" s="100">
        <f t="shared" si="25"/>
        <v>0</v>
      </c>
      <c r="D190" s="100">
        <f t="shared" si="26"/>
        <v>119.26359149900578</v>
      </c>
      <c r="E190" s="101">
        <f t="shared" si="19"/>
        <v>0</v>
      </c>
      <c r="F190" s="100">
        <f t="shared" si="20"/>
        <v>0</v>
      </c>
      <c r="G190" s="100">
        <f t="shared" si="23"/>
        <v>0</v>
      </c>
      <c r="H190" s="100">
        <f t="shared" si="24"/>
        <v>0</v>
      </c>
      <c r="I190" s="100">
        <f t="shared" si="21"/>
        <v>0</v>
      </c>
      <c r="J190" s="93"/>
      <c r="K190" s="93"/>
    </row>
    <row r="191" spans="1:11" ht="12.75">
      <c r="A191" s="96">
        <f t="shared" si="22"/>
        <v>174</v>
      </c>
      <c r="B191" s="97">
        <f t="shared" si="18"/>
        <v>45474</v>
      </c>
      <c r="C191" s="100">
        <f t="shared" si="25"/>
        <v>0</v>
      </c>
      <c r="D191" s="100">
        <f t="shared" si="26"/>
        <v>119.26359149900578</v>
      </c>
      <c r="E191" s="101">
        <f t="shared" si="19"/>
        <v>0</v>
      </c>
      <c r="F191" s="100">
        <f t="shared" si="20"/>
        <v>0</v>
      </c>
      <c r="G191" s="100">
        <f t="shared" si="23"/>
        <v>0</v>
      </c>
      <c r="H191" s="100">
        <f t="shared" si="24"/>
        <v>0</v>
      </c>
      <c r="I191" s="100">
        <f t="shared" si="21"/>
        <v>0</v>
      </c>
      <c r="J191" s="93"/>
      <c r="K191" s="93"/>
    </row>
    <row r="192" spans="1:11" ht="12.75">
      <c r="A192" s="96">
        <f t="shared" si="22"/>
        <v>175</v>
      </c>
      <c r="B192" s="97">
        <f t="shared" si="18"/>
        <v>45505</v>
      </c>
      <c r="C192" s="100">
        <f t="shared" si="25"/>
        <v>0</v>
      </c>
      <c r="D192" s="100">
        <f t="shared" si="26"/>
        <v>119.26359149900578</v>
      </c>
      <c r="E192" s="101">
        <f t="shared" si="19"/>
        <v>0</v>
      </c>
      <c r="F192" s="100">
        <f t="shared" si="20"/>
        <v>0</v>
      </c>
      <c r="G192" s="100">
        <f t="shared" si="23"/>
        <v>0</v>
      </c>
      <c r="H192" s="100">
        <f t="shared" si="24"/>
        <v>0</v>
      </c>
      <c r="I192" s="100">
        <f t="shared" si="21"/>
        <v>0</v>
      </c>
      <c r="J192" s="93"/>
      <c r="K192" s="93"/>
    </row>
    <row r="193" spans="1:11" ht="12.75">
      <c r="A193" s="96">
        <f t="shared" si="22"/>
        <v>176</v>
      </c>
      <c r="B193" s="97">
        <f t="shared" si="18"/>
        <v>45536</v>
      </c>
      <c r="C193" s="100">
        <f t="shared" si="25"/>
        <v>0</v>
      </c>
      <c r="D193" s="100">
        <f t="shared" si="26"/>
        <v>119.26359149900578</v>
      </c>
      <c r="E193" s="101">
        <f t="shared" si="19"/>
        <v>0</v>
      </c>
      <c r="F193" s="100">
        <f t="shared" si="20"/>
        <v>0</v>
      </c>
      <c r="G193" s="100">
        <f t="shared" si="23"/>
        <v>0</v>
      </c>
      <c r="H193" s="100">
        <f t="shared" si="24"/>
        <v>0</v>
      </c>
      <c r="I193" s="100">
        <f t="shared" si="21"/>
        <v>0</v>
      </c>
      <c r="J193" s="93"/>
      <c r="K193" s="93"/>
    </row>
    <row r="194" spans="1:11" ht="12.75">
      <c r="A194" s="96">
        <f t="shared" si="22"/>
        <v>177</v>
      </c>
      <c r="B194" s="97">
        <f t="shared" si="18"/>
        <v>45566</v>
      </c>
      <c r="C194" s="100">
        <f t="shared" si="25"/>
        <v>0</v>
      </c>
      <c r="D194" s="100">
        <f t="shared" si="26"/>
        <v>119.26359149900578</v>
      </c>
      <c r="E194" s="101">
        <f t="shared" si="19"/>
        <v>0</v>
      </c>
      <c r="F194" s="100">
        <f t="shared" si="20"/>
        <v>0</v>
      </c>
      <c r="G194" s="100">
        <f t="shared" si="23"/>
        <v>0</v>
      </c>
      <c r="H194" s="100">
        <f t="shared" si="24"/>
        <v>0</v>
      </c>
      <c r="I194" s="100">
        <f t="shared" si="21"/>
        <v>0</v>
      </c>
      <c r="J194" s="93"/>
      <c r="K194" s="93"/>
    </row>
    <row r="195" spans="1:11" ht="12.75">
      <c r="A195" s="96">
        <f t="shared" si="22"/>
        <v>178</v>
      </c>
      <c r="B195" s="97">
        <f t="shared" si="18"/>
        <v>45597</v>
      </c>
      <c r="C195" s="100">
        <f t="shared" si="25"/>
        <v>0</v>
      </c>
      <c r="D195" s="100">
        <f t="shared" si="26"/>
        <v>119.26359149900578</v>
      </c>
      <c r="E195" s="101">
        <f t="shared" si="19"/>
        <v>0</v>
      </c>
      <c r="F195" s="100">
        <f t="shared" si="20"/>
        <v>0</v>
      </c>
      <c r="G195" s="100">
        <f t="shared" si="23"/>
        <v>0</v>
      </c>
      <c r="H195" s="100">
        <f t="shared" si="24"/>
        <v>0</v>
      </c>
      <c r="I195" s="100">
        <f t="shared" si="21"/>
        <v>0</v>
      </c>
      <c r="J195" s="93"/>
      <c r="K195" s="93"/>
    </row>
    <row r="196" spans="1:11" ht="12.75">
      <c r="A196" s="96">
        <f t="shared" si="22"/>
        <v>179</v>
      </c>
      <c r="B196" s="97">
        <f t="shared" si="18"/>
        <v>45627</v>
      </c>
      <c r="C196" s="100">
        <f t="shared" si="25"/>
        <v>0</v>
      </c>
      <c r="D196" s="100">
        <f t="shared" si="26"/>
        <v>119.26359149900578</v>
      </c>
      <c r="E196" s="101">
        <f t="shared" si="19"/>
        <v>0</v>
      </c>
      <c r="F196" s="100">
        <f t="shared" si="20"/>
        <v>0</v>
      </c>
      <c r="G196" s="100">
        <f t="shared" si="23"/>
        <v>0</v>
      </c>
      <c r="H196" s="100">
        <f t="shared" si="24"/>
        <v>0</v>
      </c>
      <c r="I196" s="100">
        <f t="shared" si="21"/>
        <v>0</v>
      </c>
      <c r="J196" s="93"/>
      <c r="K196" s="93"/>
    </row>
    <row r="197" spans="1:11" ht="12.75">
      <c r="A197" s="96">
        <f t="shared" si="22"/>
        <v>180</v>
      </c>
      <c r="B197" s="97">
        <f t="shared" si="18"/>
        <v>45658</v>
      </c>
      <c r="C197" s="100">
        <f t="shared" si="25"/>
        <v>0</v>
      </c>
      <c r="D197" s="100">
        <f t="shared" si="26"/>
        <v>119.26359149900578</v>
      </c>
      <c r="E197" s="101">
        <f t="shared" si="19"/>
        <v>0</v>
      </c>
      <c r="F197" s="100">
        <f t="shared" si="20"/>
        <v>0</v>
      </c>
      <c r="G197" s="100">
        <f t="shared" si="23"/>
        <v>0</v>
      </c>
      <c r="H197" s="100">
        <f t="shared" si="24"/>
        <v>0</v>
      </c>
      <c r="I197" s="100">
        <f t="shared" si="21"/>
        <v>0</v>
      </c>
      <c r="J197" s="93"/>
      <c r="K197" s="93"/>
    </row>
    <row r="198" spans="1:11" ht="12.75">
      <c r="A198" s="96">
        <f t="shared" si="22"/>
        <v>181</v>
      </c>
      <c r="B198" s="97">
        <f t="shared" si="18"/>
        <v>45689</v>
      </c>
      <c r="C198" s="100">
        <f t="shared" si="25"/>
        <v>0</v>
      </c>
      <c r="D198" s="100">
        <f t="shared" si="26"/>
        <v>119.26359149900578</v>
      </c>
      <c r="E198" s="101">
        <f t="shared" si="19"/>
        <v>0</v>
      </c>
      <c r="F198" s="100">
        <f t="shared" si="20"/>
        <v>0</v>
      </c>
      <c r="G198" s="100">
        <f t="shared" si="23"/>
        <v>0</v>
      </c>
      <c r="H198" s="100">
        <f t="shared" si="24"/>
        <v>0</v>
      </c>
      <c r="I198" s="100">
        <f t="shared" si="21"/>
        <v>0</v>
      </c>
      <c r="J198" s="93"/>
      <c r="K198" s="93"/>
    </row>
    <row r="199" spans="1:11" ht="12.75">
      <c r="A199" s="96">
        <f t="shared" si="22"/>
        <v>182</v>
      </c>
      <c r="B199" s="97">
        <f t="shared" si="18"/>
        <v>45717</v>
      </c>
      <c r="C199" s="100">
        <f t="shared" si="25"/>
        <v>0</v>
      </c>
      <c r="D199" s="100">
        <f t="shared" si="26"/>
        <v>119.26359149900578</v>
      </c>
      <c r="E199" s="101">
        <f t="shared" si="19"/>
        <v>0</v>
      </c>
      <c r="F199" s="100">
        <f t="shared" si="20"/>
        <v>0</v>
      </c>
      <c r="G199" s="100">
        <f t="shared" si="23"/>
        <v>0</v>
      </c>
      <c r="H199" s="100">
        <f t="shared" si="24"/>
        <v>0</v>
      </c>
      <c r="I199" s="100">
        <f t="shared" si="21"/>
        <v>0</v>
      </c>
      <c r="J199" s="93"/>
      <c r="K199" s="93"/>
    </row>
    <row r="200" spans="1:11" ht="12.75">
      <c r="A200" s="96">
        <f t="shared" si="22"/>
        <v>183</v>
      </c>
      <c r="B200" s="97">
        <f t="shared" si="18"/>
        <v>45748</v>
      </c>
      <c r="C200" s="100">
        <f t="shared" si="25"/>
        <v>0</v>
      </c>
      <c r="D200" s="100">
        <f t="shared" si="26"/>
        <v>119.26359149900578</v>
      </c>
      <c r="E200" s="101">
        <f t="shared" si="19"/>
        <v>0</v>
      </c>
      <c r="F200" s="100">
        <f t="shared" si="20"/>
        <v>0</v>
      </c>
      <c r="G200" s="100">
        <f t="shared" si="23"/>
        <v>0</v>
      </c>
      <c r="H200" s="100">
        <f t="shared" si="24"/>
        <v>0</v>
      </c>
      <c r="I200" s="100">
        <f t="shared" si="21"/>
        <v>0</v>
      </c>
      <c r="J200" s="93"/>
      <c r="K200" s="93"/>
    </row>
    <row r="201" spans="1:11" ht="12.75">
      <c r="A201" s="96">
        <f t="shared" si="22"/>
        <v>184</v>
      </c>
      <c r="B201" s="97">
        <f t="shared" si="18"/>
        <v>45778</v>
      </c>
      <c r="C201" s="100">
        <f t="shared" si="25"/>
        <v>0</v>
      </c>
      <c r="D201" s="100">
        <f t="shared" si="26"/>
        <v>119.26359149900578</v>
      </c>
      <c r="E201" s="101">
        <f t="shared" si="19"/>
        <v>0</v>
      </c>
      <c r="F201" s="100">
        <f t="shared" si="20"/>
        <v>0</v>
      </c>
      <c r="G201" s="100">
        <f t="shared" si="23"/>
        <v>0</v>
      </c>
      <c r="H201" s="100">
        <f t="shared" si="24"/>
        <v>0</v>
      </c>
      <c r="I201" s="100">
        <f t="shared" si="21"/>
        <v>0</v>
      </c>
      <c r="J201" s="93"/>
      <c r="K201" s="93"/>
    </row>
    <row r="202" spans="1:11" ht="12.75">
      <c r="A202" s="96">
        <f t="shared" si="22"/>
        <v>185</v>
      </c>
      <c r="B202" s="97">
        <f t="shared" si="18"/>
        <v>45809</v>
      </c>
      <c r="C202" s="100">
        <f t="shared" si="25"/>
        <v>0</v>
      </c>
      <c r="D202" s="100">
        <f t="shared" si="26"/>
        <v>119.26359149900578</v>
      </c>
      <c r="E202" s="101">
        <f t="shared" si="19"/>
        <v>0</v>
      </c>
      <c r="F202" s="100">
        <f t="shared" si="20"/>
        <v>0</v>
      </c>
      <c r="G202" s="100">
        <f t="shared" si="23"/>
        <v>0</v>
      </c>
      <c r="H202" s="100">
        <f t="shared" si="24"/>
        <v>0</v>
      </c>
      <c r="I202" s="100">
        <f t="shared" si="21"/>
        <v>0</v>
      </c>
      <c r="J202" s="93"/>
      <c r="K202" s="93"/>
    </row>
    <row r="203" spans="1:11" ht="12.75">
      <c r="A203" s="96">
        <f t="shared" si="22"/>
        <v>186</v>
      </c>
      <c r="B203" s="97">
        <f t="shared" si="18"/>
        <v>45839</v>
      </c>
      <c r="C203" s="100">
        <f t="shared" si="25"/>
        <v>0</v>
      </c>
      <c r="D203" s="100">
        <f t="shared" si="26"/>
        <v>119.26359149900578</v>
      </c>
      <c r="E203" s="101">
        <f t="shared" si="19"/>
        <v>0</v>
      </c>
      <c r="F203" s="100">
        <f t="shared" si="20"/>
        <v>0</v>
      </c>
      <c r="G203" s="100">
        <f t="shared" si="23"/>
        <v>0</v>
      </c>
      <c r="H203" s="100">
        <f t="shared" si="24"/>
        <v>0</v>
      </c>
      <c r="I203" s="100">
        <f t="shared" si="21"/>
        <v>0</v>
      </c>
      <c r="J203" s="93"/>
      <c r="K203" s="93"/>
    </row>
    <row r="204" spans="1:11" ht="12.75">
      <c r="A204" s="96">
        <f t="shared" si="22"/>
        <v>187</v>
      </c>
      <c r="B204" s="97">
        <f t="shared" si="18"/>
        <v>45870</v>
      </c>
      <c r="C204" s="100">
        <f t="shared" si="25"/>
        <v>0</v>
      </c>
      <c r="D204" s="100">
        <f t="shared" si="26"/>
        <v>119.26359149900578</v>
      </c>
      <c r="E204" s="101">
        <f t="shared" si="19"/>
        <v>0</v>
      </c>
      <c r="F204" s="100">
        <f t="shared" si="20"/>
        <v>0</v>
      </c>
      <c r="G204" s="100">
        <f t="shared" si="23"/>
        <v>0</v>
      </c>
      <c r="H204" s="100">
        <f t="shared" si="24"/>
        <v>0</v>
      </c>
      <c r="I204" s="100">
        <f t="shared" si="21"/>
        <v>0</v>
      </c>
      <c r="J204" s="93"/>
      <c r="K204" s="93"/>
    </row>
    <row r="205" spans="1:11" ht="12.75">
      <c r="A205" s="96">
        <f t="shared" si="22"/>
        <v>188</v>
      </c>
      <c r="B205" s="97">
        <f t="shared" si="18"/>
        <v>45901</v>
      </c>
      <c r="C205" s="100">
        <f t="shared" si="25"/>
        <v>0</v>
      </c>
      <c r="D205" s="100">
        <f t="shared" si="26"/>
        <v>119.26359149900578</v>
      </c>
      <c r="E205" s="101">
        <f t="shared" si="19"/>
        <v>0</v>
      </c>
      <c r="F205" s="100">
        <f t="shared" si="20"/>
        <v>0</v>
      </c>
      <c r="G205" s="100">
        <f t="shared" si="23"/>
        <v>0</v>
      </c>
      <c r="H205" s="100">
        <f t="shared" si="24"/>
        <v>0</v>
      </c>
      <c r="I205" s="100">
        <f t="shared" si="21"/>
        <v>0</v>
      </c>
      <c r="J205" s="93"/>
      <c r="K205" s="93"/>
    </row>
    <row r="206" spans="1:11" ht="12.75">
      <c r="A206" s="96">
        <f t="shared" si="22"/>
        <v>189</v>
      </c>
      <c r="B206" s="97">
        <f t="shared" si="18"/>
        <v>45931</v>
      </c>
      <c r="C206" s="100">
        <f t="shared" si="25"/>
        <v>0</v>
      </c>
      <c r="D206" s="100">
        <f t="shared" si="26"/>
        <v>119.26359149900578</v>
      </c>
      <c r="E206" s="101">
        <f t="shared" si="19"/>
        <v>0</v>
      </c>
      <c r="F206" s="100">
        <f t="shared" si="20"/>
        <v>0</v>
      </c>
      <c r="G206" s="100">
        <f t="shared" si="23"/>
        <v>0</v>
      </c>
      <c r="H206" s="100">
        <f t="shared" si="24"/>
        <v>0</v>
      </c>
      <c r="I206" s="100">
        <f t="shared" si="21"/>
        <v>0</v>
      </c>
      <c r="J206" s="93"/>
      <c r="K206" s="93"/>
    </row>
    <row r="207" spans="1:11" ht="12.75">
      <c r="A207" s="96">
        <f t="shared" si="22"/>
        <v>190</v>
      </c>
      <c r="B207" s="97">
        <f t="shared" si="18"/>
        <v>45962</v>
      </c>
      <c r="C207" s="100">
        <f t="shared" si="25"/>
        <v>0</v>
      </c>
      <c r="D207" s="100">
        <f t="shared" si="26"/>
        <v>119.26359149900578</v>
      </c>
      <c r="E207" s="101">
        <f t="shared" si="19"/>
        <v>0</v>
      </c>
      <c r="F207" s="100">
        <f t="shared" si="20"/>
        <v>0</v>
      </c>
      <c r="G207" s="100">
        <f t="shared" si="23"/>
        <v>0</v>
      </c>
      <c r="H207" s="100">
        <f t="shared" si="24"/>
        <v>0</v>
      </c>
      <c r="I207" s="100">
        <f t="shared" si="21"/>
        <v>0</v>
      </c>
      <c r="J207" s="93"/>
      <c r="K207" s="93"/>
    </row>
    <row r="208" spans="1:11" ht="12.75">
      <c r="A208" s="96">
        <f t="shared" si="22"/>
        <v>191</v>
      </c>
      <c r="B208" s="97">
        <f t="shared" si="18"/>
        <v>45992</v>
      </c>
      <c r="C208" s="100">
        <f t="shared" si="25"/>
        <v>0</v>
      </c>
      <c r="D208" s="100">
        <f t="shared" si="26"/>
        <v>119.26359149900578</v>
      </c>
      <c r="E208" s="101">
        <f t="shared" si="19"/>
        <v>0</v>
      </c>
      <c r="F208" s="100">
        <f t="shared" si="20"/>
        <v>0</v>
      </c>
      <c r="G208" s="100">
        <f t="shared" si="23"/>
        <v>0</v>
      </c>
      <c r="H208" s="100">
        <f t="shared" si="24"/>
        <v>0</v>
      </c>
      <c r="I208" s="100">
        <f t="shared" si="21"/>
        <v>0</v>
      </c>
      <c r="J208" s="93"/>
      <c r="K208" s="93"/>
    </row>
    <row r="209" spans="1:11" ht="12.75">
      <c r="A209" s="96">
        <f t="shared" si="22"/>
        <v>192</v>
      </c>
      <c r="B209" s="97">
        <f t="shared" si="18"/>
        <v>46023</v>
      </c>
      <c r="C209" s="100">
        <f t="shared" si="25"/>
        <v>0</v>
      </c>
      <c r="D209" s="100">
        <f t="shared" si="26"/>
        <v>119.26359149900578</v>
      </c>
      <c r="E209" s="101">
        <f t="shared" si="19"/>
        <v>0</v>
      </c>
      <c r="F209" s="100">
        <f t="shared" si="20"/>
        <v>0</v>
      </c>
      <c r="G209" s="100">
        <f t="shared" si="23"/>
        <v>0</v>
      </c>
      <c r="H209" s="100">
        <f t="shared" si="24"/>
        <v>0</v>
      </c>
      <c r="I209" s="100">
        <f t="shared" si="21"/>
        <v>0</v>
      </c>
      <c r="J209" s="93"/>
      <c r="K209" s="93"/>
    </row>
    <row r="210" spans="1:11" ht="12.75">
      <c r="A210" s="96">
        <f t="shared" si="22"/>
        <v>193</v>
      </c>
      <c r="B210" s="97">
        <f aca="true" t="shared" si="27" ref="B210:B273">IF(Pay_Num&lt;&gt;"",DATE(YEAR(Loan_Start),MONTH(Loan_Start)+(Pay_Num)*12/Num_Pmt_Per_Year,DAY(Loan_Start)),"")</f>
        <v>46054</v>
      </c>
      <c r="C210" s="100">
        <f t="shared" si="25"/>
        <v>0</v>
      </c>
      <c r="D210" s="100">
        <f t="shared" si="26"/>
        <v>119.26359149900578</v>
      </c>
      <c r="E210" s="101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100">
        <f aca="true" t="shared" si="29" ref="F210:F273">IF(AND(Pay_Num&lt;&gt;"",Sched_Pay+Extra_Pay&lt;Beg_Bal),Sched_Pay+Extra_Pay,IF(Pay_Num&lt;&gt;"",Beg_Bal,""))</f>
        <v>0</v>
      </c>
      <c r="G210" s="100">
        <f t="shared" si="23"/>
        <v>0</v>
      </c>
      <c r="H210" s="100">
        <f t="shared" si="24"/>
        <v>0</v>
      </c>
      <c r="I210" s="100">
        <f aca="true" t="shared" si="30" ref="I210:I273">IF(AND(Pay_Num&lt;&gt;"",Sched_Pay+Extra_Pay&lt;Beg_Bal),Beg_Bal-Princ,IF(Pay_Num&lt;&gt;"",0,""))</f>
        <v>0</v>
      </c>
      <c r="J210" s="93"/>
      <c r="K210" s="93"/>
    </row>
    <row r="211" spans="1:11" ht="12.75">
      <c r="A211" s="96">
        <f aca="true" t="shared" si="31" ref="A211:A274">IF(Values_Entered,A210+1,"")</f>
        <v>194</v>
      </c>
      <c r="B211" s="97">
        <f t="shared" si="27"/>
        <v>46082</v>
      </c>
      <c r="C211" s="100">
        <f t="shared" si="25"/>
        <v>0</v>
      </c>
      <c r="D211" s="100">
        <f t="shared" si="26"/>
        <v>119.26359149900578</v>
      </c>
      <c r="E211" s="101">
        <f t="shared" si="28"/>
        <v>0</v>
      </c>
      <c r="F211" s="100">
        <f t="shared" si="29"/>
        <v>0</v>
      </c>
      <c r="G211" s="100">
        <f aca="true" t="shared" si="32" ref="G211:G274">IF(Pay_Num&lt;&gt;"",Total_Pay-Int,"")</f>
        <v>0</v>
      </c>
      <c r="H211" s="100">
        <f aca="true" t="shared" si="33" ref="H211:H274">IF(Pay_Num&lt;&gt;"",Beg_Bal*Interest_Rate/Num_Pmt_Per_Year,"")</f>
        <v>0</v>
      </c>
      <c r="I211" s="100">
        <f t="shared" si="30"/>
        <v>0</v>
      </c>
      <c r="J211" s="93"/>
      <c r="K211" s="93"/>
    </row>
    <row r="212" spans="1:11" ht="12.75">
      <c r="A212" s="96">
        <f t="shared" si="31"/>
        <v>195</v>
      </c>
      <c r="B212" s="97">
        <f t="shared" si="27"/>
        <v>46113</v>
      </c>
      <c r="C212" s="100">
        <f aca="true" t="shared" si="34" ref="C212:C275">IF(Pay_Num&lt;&gt;"",I211,"")</f>
        <v>0</v>
      </c>
      <c r="D212" s="100">
        <f aca="true" t="shared" si="35" ref="D212:D275">IF(Pay_Num&lt;&gt;"",Scheduled_Monthly_Payment,"")</f>
        <v>119.26359149900578</v>
      </c>
      <c r="E212" s="101">
        <f t="shared" si="28"/>
        <v>0</v>
      </c>
      <c r="F212" s="100">
        <f t="shared" si="29"/>
        <v>0</v>
      </c>
      <c r="G212" s="100">
        <f t="shared" si="32"/>
        <v>0</v>
      </c>
      <c r="H212" s="100">
        <f t="shared" si="33"/>
        <v>0</v>
      </c>
      <c r="I212" s="100">
        <f t="shared" si="30"/>
        <v>0</v>
      </c>
      <c r="J212" s="93"/>
      <c r="K212" s="93"/>
    </row>
    <row r="213" spans="1:11" ht="12.75">
      <c r="A213" s="96">
        <f t="shared" si="31"/>
        <v>196</v>
      </c>
      <c r="B213" s="97">
        <f t="shared" si="27"/>
        <v>46143</v>
      </c>
      <c r="C213" s="100">
        <f t="shared" si="34"/>
        <v>0</v>
      </c>
      <c r="D213" s="100">
        <f t="shared" si="35"/>
        <v>119.26359149900578</v>
      </c>
      <c r="E213" s="101">
        <f t="shared" si="28"/>
        <v>0</v>
      </c>
      <c r="F213" s="100">
        <f t="shared" si="29"/>
        <v>0</v>
      </c>
      <c r="G213" s="100">
        <f t="shared" si="32"/>
        <v>0</v>
      </c>
      <c r="H213" s="100">
        <f t="shared" si="33"/>
        <v>0</v>
      </c>
      <c r="I213" s="100">
        <f t="shared" si="30"/>
        <v>0</v>
      </c>
      <c r="J213" s="93"/>
      <c r="K213" s="93"/>
    </row>
    <row r="214" spans="1:11" ht="12.75">
      <c r="A214" s="96">
        <f t="shared" si="31"/>
        <v>197</v>
      </c>
      <c r="B214" s="97">
        <f t="shared" si="27"/>
        <v>46174</v>
      </c>
      <c r="C214" s="100">
        <f t="shared" si="34"/>
        <v>0</v>
      </c>
      <c r="D214" s="100">
        <f t="shared" si="35"/>
        <v>119.26359149900578</v>
      </c>
      <c r="E214" s="101">
        <f t="shared" si="28"/>
        <v>0</v>
      </c>
      <c r="F214" s="100">
        <f t="shared" si="29"/>
        <v>0</v>
      </c>
      <c r="G214" s="100">
        <f t="shared" si="32"/>
        <v>0</v>
      </c>
      <c r="H214" s="100">
        <f t="shared" si="33"/>
        <v>0</v>
      </c>
      <c r="I214" s="100">
        <f t="shared" si="30"/>
        <v>0</v>
      </c>
      <c r="J214" s="93"/>
      <c r="K214" s="93"/>
    </row>
    <row r="215" spans="1:11" ht="12.75">
      <c r="A215" s="96">
        <f t="shared" si="31"/>
        <v>198</v>
      </c>
      <c r="B215" s="97">
        <f t="shared" si="27"/>
        <v>46204</v>
      </c>
      <c r="C215" s="100">
        <f t="shared" si="34"/>
        <v>0</v>
      </c>
      <c r="D215" s="100">
        <f t="shared" si="35"/>
        <v>119.26359149900578</v>
      </c>
      <c r="E215" s="101">
        <f t="shared" si="28"/>
        <v>0</v>
      </c>
      <c r="F215" s="100">
        <f t="shared" si="29"/>
        <v>0</v>
      </c>
      <c r="G215" s="100">
        <f t="shared" si="32"/>
        <v>0</v>
      </c>
      <c r="H215" s="100">
        <f t="shared" si="33"/>
        <v>0</v>
      </c>
      <c r="I215" s="100">
        <f t="shared" si="30"/>
        <v>0</v>
      </c>
      <c r="J215" s="93"/>
      <c r="K215" s="93"/>
    </row>
    <row r="216" spans="1:11" ht="12.75">
      <c r="A216" s="96">
        <f t="shared" si="31"/>
        <v>199</v>
      </c>
      <c r="B216" s="97">
        <f t="shared" si="27"/>
        <v>46235</v>
      </c>
      <c r="C216" s="100">
        <f t="shared" si="34"/>
        <v>0</v>
      </c>
      <c r="D216" s="100">
        <f t="shared" si="35"/>
        <v>119.26359149900578</v>
      </c>
      <c r="E216" s="101">
        <f t="shared" si="28"/>
        <v>0</v>
      </c>
      <c r="F216" s="100">
        <f t="shared" si="29"/>
        <v>0</v>
      </c>
      <c r="G216" s="100">
        <f t="shared" si="32"/>
        <v>0</v>
      </c>
      <c r="H216" s="100">
        <f t="shared" si="33"/>
        <v>0</v>
      </c>
      <c r="I216" s="100">
        <f t="shared" si="30"/>
        <v>0</v>
      </c>
      <c r="J216" s="93"/>
      <c r="K216" s="93"/>
    </row>
    <row r="217" spans="1:11" ht="12.75">
      <c r="A217" s="96">
        <f t="shared" si="31"/>
        <v>200</v>
      </c>
      <c r="B217" s="97">
        <f t="shared" si="27"/>
        <v>46266</v>
      </c>
      <c r="C217" s="100">
        <f t="shared" si="34"/>
        <v>0</v>
      </c>
      <c r="D217" s="100">
        <f t="shared" si="35"/>
        <v>119.26359149900578</v>
      </c>
      <c r="E217" s="101">
        <f t="shared" si="28"/>
        <v>0</v>
      </c>
      <c r="F217" s="100">
        <f t="shared" si="29"/>
        <v>0</v>
      </c>
      <c r="G217" s="100">
        <f t="shared" si="32"/>
        <v>0</v>
      </c>
      <c r="H217" s="100">
        <f t="shared" si="33"/>
        <v>0</v>
      </c>
      <c r="I217" s="100">
        <f t="shared" si="30"/>
        <v>0</v>
      </c>
      <c r="J217" s="93"/>
      <c r="K217" s="93"/>
    </row>
    <row r="218" spans="1:11" ht="12.75">
      <c r="A218" s="96">
        <f t="shared" si="31"/>
        <v>201</v>
      </c>
      <c r="B218" s="97">
        <f t="shared" si="27"/>
        <v>46296</v>
      </c>
      <c r="C218" s="100">
        <f t="shared" si="34"/>
        <v>0</v>
      </c>
      <c r="D218" s="100">
        <f t="shared" si="35"/>
        <v>119.26359149900578</v>
      </c>
      <c r="E218" s="101">
        <f t="shared" si="28"/>
        <v>0</v>
      </c>
      <c r="F218" s="100">
        <f t="shared" si="29"/>
        <v>0</v>
      </c>
      <c r="G218" s="100">
        <f t="shared" si="32"/>
        <v>0</v>
      </c>
      <c r="H218" s="100">
        <f t="shared" si="33"/>
        <v>0</v>
      </c>
      <c r="I218" s="100">
        <f t="shared" si="30"/>
        <v>0</v>
      </c>
      <c r="J218" s="93"/>
      <c r="K218" s="93"/>
    </row>
    <row r="219" spans="1:11" ht="12.75">
      <c r="A219" s="96">
        <f t="shared" si="31"/>
        <v>202</v>
      </c>
      <c r="B219" s="97">
        <f t="shared" si="27"/>
        <v>46327</v>
      </c>
      <c r="C219" s="100">
        <f t="shared" si="34"/>
        <v>0</v>
      </c>
      <c r="D219" s="100">
        <f t="shared" si="35"/>
        <v>119.26359149900578</v>
      </c>
      <c r="E219" s="101">
        <f t="shared" si="28"/>
        <v>0</v>
      </c>
      <c r="F219" s="100">
        <f t="shared" si="29"/>
        <v>0</v>
      </c>
      <c r="G219" s="100">
        <f t="shared" si="32"/>
        <v>0</v>
      </c>
      <c r="H219" s="100">
        <f t="shared" si="33"/>
        <v>0</v>
      </c>
      <c r="I219" s="100">
        <f t="shared" si="30"/>
        <v>0</v>
      </c>
      <c r="J219" s="93"/>
      <c r="K219" s="93"/>
    </row>
    <row r="220" spans="1:11" ht="12.75">
      <c r="A220" s="96">
        <f t="shared" si="31"/>
        <v>203</v>
      </c>
      <c r="B220" s="97">
        <f t="shared" si="27"/>
        <v>46357</v>
      </c>
      <c r="C220" s="100">
        <f t="shared" si="34"/>
        <v>0</v>
      </c>
      <c r="D220" s="100">
        <f t="shared" si="35"/>
        <v>119.26359149900578</v>
      </c>
      <c r="E220" s="101">
        <f t="shared" si="28"/>
        <v>0</v>
      </c>
      <c r="F220" s="100">
        <f t="shared" si="29"/>
        <v>0</v>
      </c>
      <c r="G220" s="100">
        <f t="shared" si="32"/>
        <v>0</v>
      </c>
      <c r="H220" s="100">
        <f t="shared" si="33"/>
        <v>0</v>
      </c>
      <c r="I220" s="100">
        <f t="shared" si="30"/>
        <v>0</v>
      </c>
      <c r="J220" s="93"/>
      <c r="K220" s="93"/>
    </row>
    <row r="221" spans="1:11" ht="12.75">
      <c r="A221" s="96">
        <f t="shared" si="31"/>
        <v>204</v>
      </c>
      <c r="B221" s="97">
        <f t="shared" si="27"/>
        <v>46388</v>
      </c>
      <c r="C221" s="100">
        <f t="shared" si="34"/>
        <v>0</v>
      </c>
      <c r="D221" s="100">
        <f t="shared" si="35"/>
        <v>119.26359149900578</v>
      </c>
      <c r="E221" s="101">
        <f t="shared" si="28"/>
        <v>0</v>
      </c>
      <c r="F221" s="100">
        <f t="shared" si="29"/>
        <v>0</v>
      </c>
      <c r="G221" s="100">
        <f t="shared" si="32"/>
        <v>0</v>
      </c>
      <c r="H221" s="100">
        <f t="shared" si="33"/>
        <v>0</v>
      </c>
      <c r="I221" s="100">
        <f t="shared" si="30"/>
        <v>0</v>
      </c>
      <c r="J221" s="93"/>
      <c r="K221" s="93"/>
    </row>
    <row r="222" spans="1:11" ht="12.75">
      <c r="A222" s="96">
        <f t="shared" si="31"/>
        <v>205</v>
      </c>
      <c r="B222" s="97">
        <f t="shared" si="27"/>
        <v>46419</v>
      </c>
      <c r="C222" s="100">
        <f t="shared" si="34"/>
        <v>0</v>
      </c>
      <c r="D222" s="100">
        <f t="shared" si="35"/>
        <v>119.26359149900578</v>
      </c>
      <c r="E222" s="101">
        <f t="shared" si="28"/>
        <v>0</v>
      </c>
      <c r="F222" s="100">
        <f t="shared" si="29"/>
        <v>0</v>
      </c>
      <c r="G222" s="100">
        <f t="shared" si="32"/>
        <v>0</v>
      </c>
      <c r="H222" s="100">
        <f t="shared" si="33"/>
        <v>0</v>
      </c>
      <c r="I222" s="100">
        <f t="shared" si="30"/>
        <v>0</v>
      </c>
      <c r="J222" s="93"/>
      <c r="K222" s="93"/>
    </row>
    <row r="223" spans="1:11" ht="12.75">
      <c r="A223" s="96">
        <f t="shared" si="31"/>
        <v>206</v>
      </c>
      <c r="B223" s="97">
        <f t="shared" si="27"/>
        <v>46447</v>
      </c>
      <c r="C223" s="100">
        <f t="shared" si="34"/>
        <v>0</v>
      </c>
      <c r="D223" s="100">
        <f t="shared" si="35"/>
        <v>119.26359149900578</v>
      </c>
      <c r="E223" s="101">
        <f t="shared" si="28"/>
        <v>0</v>
      </c>
      <c r="F223" s="100">
        <f t="shared" si="29"/>
        <v>0</v>
      </c>
      <c r="G223" s="100">
        <f t="shared" si="32"/>
        <v>0</v>
      </c>
      <c r="H223" s="100">
        <f t="shared" si="33"/>
        <v>0</v>
      </c>
      <c r="I223" s="100">
        <f t="shared" si="30"/>
        <v>0</v>
      </c>
      <c r="J223" s="93"/>
      <c r="K223" s="93"/>
    </row>
    <row r="224" spans="1:11" ht="12.75">
      <c r="A224" s="96">
        <f t="shared" si="31"/>
        <v>207</v>
      </c>
      <c r="B224" s="97">
        <f t="shared" si="27"/>
        <v>46478</v>
      </c>
      <c r="C224" s="100">
        <f t="shared" si="34"/>
        <v>0</v>
      </c>
      <c r="D224" s="100">
        <f t="shared" si="35"/>
        <v>119.26359149900578</v>
      </c>
      <c r="E224" s="101">
        <f t="shared" si="28"/>
        <v>0</v>
      </c>
      <c r="F224" s="100">
        <f t="shared" si="29"/>
        <v>0</v>
      </c>
      <c r="G224" s="100">
        <f t="shared" si="32"/>
        <v>0</v>
      </c>
      <c r="H224" s="100">
        <f t="shared" si="33"/>
        <v>0</v>
      </c>
      <c r="I224" s="100">
        <f t="shared" si="30"/>
        <v>0</v>
      </c>
      <c r="J224" s="93"/>
      <c r="K224" s="93"/>
    </row>
    <row r="225" spans="1:11" ht="12.75">
      <c r="A225" s="96">
        <f t="shared" si="31"/>
        <v>208</v>
      </c>
      <c r="B225" s="97">
        <f t="shared" si="27"/>
        <v>46508</v>
      </c>
      <c r="C225" s="100">
        <f t="shared" si="34"/>
        <v>0</v>
      </c>
      <c r="D225" s="100">
        <f t="shared" si="35"/>
        <v>119.26359149900578</v>
      </c>
      <c r="E225" s="101">
        <f t="shared" si="28"/>
        <v>0</v>
      </c>
      <c r="F225" s="100">
        <f t="shared" si="29"/>
        <v>0</v>
      </c>
      <c r="G225" s="100">
        <f t="shared" si="32"/>
        <v>0</v>
      </c>
      <c r="H225" s="100">
        <f t="shared" si="33"/>
        <v>0</v>
      </c>
      <c r="I225" s="100">
        <f t="shared" si="30"/>
        <v>0</v>
      </c>
      <c r="J225" s="93"/>
      <c r="K225" s="93"/>
    </row>
    <row r="226" spans="1:11" ht="12.75">
      <c r="A226" s="96">
        <f t="shared" si="31"/>
        <v>209</v>
      </c>
      <c r="B226" s="97">
        <f t="shared" si="27"/>
        <v>46539</v>
      </c>
      <c r="C226" s="100">
        <f t="shared" si="34"/>
        <v>0</v>
      </c>
      <c r="D226" s="100">
        <f t="shared" si="35"/>
        <v>119.26359149900578</v>
      </c>
      <c r="E226" s="101">
        <f t="shared" si="28"/>
        <v>0</v>
      </c>
      <c r="F226" s="100">
        <f t="shared" si="29"/>
        <v>0</v>
      </c>
      <c r="G226" s="100">
        <f t="shared" si="32"/>
        <v>0</v>
      </c>
      <c r="H226" s="100">
        <f t="shared" si="33"/>
        <v>0</v>
      </c>
      <c r="I226" s="100">
        <f t="shared" si="30"/>
        <v>0</v>
      </c>
      <c r="J226" s="93"/>
      <c r="K226" s="93"/>
    </row>
    <row r="227" spans="1:11" ht="12.75">
      <c r="A227" s="96">
        <f t="shared" si="31"/>
        <v>210</v>
      </c>
      <c r="B227" s="97">
        <f t="shared" si="27"/>
        <v>46569</v>
      </c>
      <c r="C227" s="100">
        <f t="shared" si="34"/>
        <v>0</v>
      </c>
      <c r="D227" s="100">
        <f t="shared" si="35"/>
        <v>119.26359149900578</v>
      </c>
      <c r="E227" s="101">
        <f t="shared" si="28"/>
        <v>0</v>
      </c>
      <c r="F227" s="100">
        <f t="shared" si="29"/>
        <v>0</v>
      </c>
      <c r="G227" s="100">
        <f t="shared" si="32"/>
        <v>0</v>
      </c>
      <c r="H227" s="100">
        <f t="shared" si="33"/>
        <v>0</v>
      </c>
      <c r="I227" s="100">
        <f t="shared" si="30"/>
        <v>0</v>
      </c>
      <c r="J227" s="93"/>
      <c r="K227" s="93"/>
    </row>
    <row r="228" spans="1:11" ht="12.75">
      <c r="A228" s="96">
        <f t="shared" si="31"/>
        <v>211</v>
      </c>
      <c r="B228" s="97">
        <f t="shared" si="27"/>
        <v>46600</v>
      </c>
      <c r="C228" s="100">
        <f t="shared" si="34"/>
        <v>0</v>
      </c>
      <c r="D228" s="100">
        <f t="shared" si="35"/>
        <v>119.26359149900578</v>
      </c>
      <c r="E228" s="101">
        <f t="shared" si="28"/>
        <v>0</v>
      </c>
      <c r="F228" s="100">
        <f t="shared" si="29"/>
        <v>0</v>
      </c>
      <c r="G228" s="100">
        <f t="shared" si="32"/>
        <v>0</v>
      </c>
      <c r="H228" s="100">
        <f t="shared" si="33"/>
        <v>0</v>
      </c>
      <c r="I228" s="100">
        <f t="shared" si="30"/>
        <v>0</v>
      </c>
      <c r="J228" s="93"/>
      <c r="K228" s="93"/>
    </row>
    <row r="229" spans="1:11" ht="12.75">
      <c r="A229" s="96">
        <f t="shared" si="31"/>
        <v>212</v>
      </c>
      <c r="B229" s="97">
        <f t="shared" si="27"/>
        <v>46631</v>
      </c>
      <c r="C229" s="100">
        <f t="shared" si="34"/>
        <v>0</v>
      </c>
      <c r="D229" s="100">
        <f t="shared" si="35"/>
        <v>119.26359149900578</v>
      </c>
      <c r="E229" s="101">
        <f t="shared" si="28"/>
        <v>0</v>
      </c>
      <c r="F229" s="100">
        <f t="shared" si="29"/>
        <v>0</v>
      </c>
      <c r="G229" s="100">
        <f t="shared" si="32"/>
        <v>0</v>
      </c>
      <c r="H229" s="100">
        <f t="shared" si="33"/>
        <v>0</v>
      </c>
      <c r="I229" s="100">
        <f t="shared" si="30"/>
        <v>0</v>
      </c>
      <c r="J229" s="93"/>
      <c r="K229" s="93"/>
    </row>
    <row r="230" spans="1:11" ht="12.75">
      <c r="A230" s="96">
        <f t="shared" si="31"/>
        <v>213</v>
      </c>
      <c r="B230" s="97">
        <f t="shared" si="27"/>
        <v>46661</v>
      </c>
      <c r="C230" s="100">
        <f t="shared" si="34"/>
        <v>0</v>
      </c>
      <c r="D230" s="100">
        <f t="shared" si="35"/>
        <v>119.26359149900578</v>
      </c>
      <c r="E230" s="101">
        <f t="shared" si="28"/>
        <v>0</v>
      </c>
      <c r="F230" s="100">
        <f t="shared" si="29"/>
        <v>0</v>
      </c>
      <c r="G230" s="100">
        <f t="shared" si="32"/>
        <v>0</v>
      </c>
      <c r="H230" s="100">
        <f t="shared" si="33"/>
        <v>0</v>
      </c>
      <c r="I230" s="100">
        <f t="shared" si="30"/>
        <v>0</v>
      </c>
      <c r="J230" s="93"/>
      <c r="K230" s="93"/>
    </row>
    <row r="231" spans="1:11" ht="12.75">
      <c r="A231" s="96">
        <f t="shared" si="31"/>
        <v>214</v>
      </c>
      <c r="B231" s="97">
        <f t="shared" si="27"/>
        <v>46692</v>
      </c>
      <c r="C231" s="100">
        <f t="shared" si="34"/>
        <v>0</v>
      </c>
      <c r="D231" s="100">
        <f t="shared" si="35"/>
        <v>119.26359149900578</v>
      </c>
      <c r="E231" s="101">
        <f t="shared" si="28"/>
        <v>0</v>
      </c>
      <c r="F231" s="100">
        <f t="shared" si="29"/>
        <v>0</v>
      </c>
      <c r="G231" s="100">
        <f t="shared" si="32"/>
        <v>0</v>
      </c>
      <c r="H231" s="100">
        <f t="shared" si="33"/>
        <v>0</v>
      </c>
      <c r="I231" s="100">
        <f t="shared" si="30"/>
        <v>0</v>
      </c>
      <c r="J231" s="93"/>
      <c r="K231" s="93"/>
    </row>
    <row r="232" spans="1:11" ht="12.75">
      <c r="A232" s="96">
        <f t="shared" si="31"/>
        <v>215</v>
      </c>
      <c r="B232" s="97">
        <f t="shared" si="27"/>
        <v>46722</v>
      </c>
      <c r="C232" s="100">
        <f t="shared" si="34"/>
        <v>0</v>
      </c>
      <c r="D232" s="100">
        <f t="shared" si="35"/>
        <v>119.26359149900578</v>
      </c>
      <c r="E232" s="101">
        <f t="shared" si="28"/>
        <v>0</v>
      </c>
      <c r="F232" s="100">
        <f t="shared" si="29"/>
        <v>0</v>
      </c>
      <c r="G232" s="100">
        <f t="shared" si="32"/>
        <v>0</v>
      </c>
      <c r="H232" s="100">
        <f t="shared" si="33"/>
        <v>0</v>
      </c>
      <c r="I232" s="100">
        <f t="shared" si="30"/>
        <v>0</v>
      </c>
      <c r="J232" s="93"/>
      <c r="K232" s="93"/>
    </row>
    <row r="233" spans="1:11" ht="12.75">
      <c r="A233" s="96">
        <f t="shared" si="31"/>
        <v>216</v>
      </c>
      <c r="B233" s="97">
        <f t="shared" si="27"/>
        <v>46753</v>
      </c>
      <c r="C233" s="100">
        <f t="shared" si="34"/>
        <v>0</v>
      </c>
      <c r="D233" s="100">
        <f t="shared" si="35"/>
        <v>119.26359149900578</v>
      </c>
      <c r="E233" s="101">
        <f t="shared" si="28"/>
        <v>0</v>
      </c>
      <c r="F233" s="100">
        <f t="shared" si="29"/>
        <v>0</v>
      </c>
      <c r="G233" s="100">
        <f t="shared" si="32"/>
        <v>0</v>
      </c>
      <c r="H233" s="100">
        <f t="shared" si="33"/>
        <v>0</v>
      </c>
      <c r="I233" s="100">
        <f t="shared" si="30"/>
        <v>0</v>
      </c>
      <c r="J233" s="93"/>
      <c r="K233" s="93"/>
    </row>
    <row r="234" spans="1:11" ht="12.75">
      <c r="A234" s="96">
        <f t="shared" si="31"/>
        <v>217</v>
      </c>
      <c r="B234" s="97">
        <f t="shared" si="27"/>
        <v>46784</v>
      </c>
      <c r="C234" s="100">
        <f t="shared" si="34"/>
        <v>0</v>
      </c>
      <c r="D234" s="100">
        <f t="shared" si="35"/>
        <v>119.26359149900578</v>
      </c>
      <c r="E234" s="101">
        <f t="shared" si="28"/>
        <v>0</v>
      </c>
      <c r="F234" s="100">
        <f t="shared" si="29"/>
        <v>0</v>
      </c>
      <c r="G234" s="100">
        <f t="shared" si="32"/>
        <v>0</v>
      </c>
      <c r="H234" s="100">
        <f t="shared" si="33"/>
        <v>0</v>
      </c>
      <c r="I234" s="100">
        <f t="shared" si="30"/>
        <v>0</v>
      </c>
      <c r="J234" s="93"/>
      <c r="K234" s="93"/>
    </row>
    <row r="235" spans="1:11" ht="12.75">
      <c r="A235" s="96">
        <f t="shared" si="31"/>
        <v>218</v>
      </c>
      <c r="B235" s="97">
        <f t="shared" si="27"/>
        <v>46813</v>
      </c>
      <c r="C235" s="100">
        <f t="shared" si="34"/>
        <v>0</v>
      </c>
      <c r="D235" s="100">
        <f t="shared" si="35"/>
        <v>119.26359149900578</v>
      </c>
      <c r="E235" s="101">
        <f t="shared" si="28"/>
        <v>0</v>
      </c>
      <c r="F235" s="100">
        <f t="shared" si="29"/>
        <v>0</v>
      </c>
      <c r="G235" s="100">
        <f t="shared" si="32"/>
        <v>0</v>
      </c>
      <c r="H235" s="100">
        <f t="shared" si="33"/>
        <v>0</v>
      </c>
      <c r="I235" s="100">
        <f t="shared" si="30"/>
        <v>0</v>
      </c>
      <c r="J235" s="93"/>
      <c r="K235" s="93"/>
    </row>
    <row r="236" spans="1:11" ht="12.75">
      <c r="A236" s="96">
        <f t="shared" si="31"/>
        <v>219</v>
      </c>
      <c r="B236" s="97">
        <f t="shared" si="27"/>
        <v>46844</v>
      </c>
      <c r="C236" s="100">
        <f t="shared" si="34"/>
        <v>0</v>
      </c>
      <c r="D236" s="100">
        <f t="shared" si="35"/>
        <v>119.26359149900578</v>
      </c>
      <c r="E236" s="101">
        <f t="shared" si="28"/>
        <v>0</v>
      </c>
      <c r="F236" s="100">
        <f t="shared" si="29"/>
        <v>0</v>
      </c>
      <c r="G236" s="100">
        <f t="shared" si="32"/>
        <v>0</v>
      </c>
      <c r="H236" s="100">
        <f t="shared" si="33"/>
        <v>0</v>
      </c>
      <c r="I236" s="100">
        <f t="shared" si="30"/>
        <v>0</v>
      </c>
      <c r="J236" s="93"/>
      <c r="K236" s="93"/>
    </row>
    <row r="237" spans="1:11" ht="12.75">
      <c r="A237" s="96">
        <f t="shared" si="31"/>
        <v>220</v>
      </c>
      <c r="B237" s="97">
        <f t="shared" si="27"/>
        <v>46874</v>
      </c>
      <c r="C237" s="100">
        <f t="shared" si="34"/>
        <v>0</v>
      </c>
      <c r="D237" s="100">
        <f t="shared" si="35"/>
        <v>119.26359149900578</v>
      </c>
      <c r="E237" s="101">
        <f t="shared" si="28"/>
        <v>0</v>
      </c>
      <c r="F237" s="100">
        <f t="shared" si="29"/>
        <v>0</v>
      </c>
      <c r="G237" s="100">
        <f t="shared" si="32"/>
        <v>0</v>
      </c>
      <c r="H237" s="100">
        <f t="shared" si="33"/>
        <v>0</v>
      </c>
      <c r="I237" s="100">
        <f t="shared" si="30"/>
        <v>0</v>
      </c>
      <c r="J237" s="93"/>
      <c r="K237" s="93"/>
    </row>
    <row r="238" spans="1:11" ht="12.75">
      <c r="A238" s="96">
        <f t="shared" si="31"/>
        <v>221</v>
      </c>
      <c r="B238" s="97">
        <f t="shared" si="27"/>
        <v>46905</v>
      </c>
      <c r="C238" s="100">
        <f t="shared" si="34"/>
        <v>0</v>
      </c>
      <c r="D238" s="100">
        <f t="shared" si="35"/>
        <v>119.26359149900578</v>
      </c>
      <c r="E238" s="101">
        <f t="shared" si="28"/>
        <v>0</v>
      </c>
      <c r="F238" s="100">
        <f t="shared" si="29"/>
        <v>0</v>
      </c>
      <c r="G238" s="100">
        <f t="shared" si="32"/>
        <v>0</v>
      </c>
      <c r="H238" s="100">
        <f t="shared" si="33"/>
        <v>0</v>
      </c>
      <c r="I238" s="100">
        <f t="shared" si="30"/>
        <v>0</v>
      </c>
      <c r="J238" s="93"/>
      <c r="K238" s="93"/>
    </row>
    <row r="239" spans="1:11" ht="12.75">
      <c r="A239" s="96">
        <f t="shared" si="31"/>
        <v>222</v>
      </c>
      <c r="B239" s="97">
        <f t="shared" si="27"/>
        <v>46935</v>
      </c>
      <c r="C239" s="100">
        <f t="shared" si="34"/>
        <v>0</v>
      </c>
      <c r="D239" s="100">
        <f t="shared" si="35"/>
        <v>119.26359149900578</v>
      </c>
      <c r="E239" s="101">
        <f t="shared" si="28"/>
        <v>0</v>
      </c>
      <c r="F239" s="100">
        <f t="shared" si="29"/>
        <v>0</v>
      </c>
      <c r="G239" s="100">
        <f t="shared" si="32"/>
        <v>0</v>
      </c>
      <c r="H239" s="100">
        <f t="shared" si="33"/>
        <v>0</v>
      </c>
      <c r="I239" s="100">
        <f t="shared" si="30"/>
        <v>0</v>
      </c>
      <c r="J239" s="93"/>
      <c r="K239" s="93"/>
    </row>
    <row r="240" spans="1:11" ht="12.75">
      <c r="A240" s="96">
        <f t="shared" si="31"/>
        <v>223</v>
      </c>
      <c r="B240" s="97">
        <f t="shared" si="27"/>
        <v>46966</v>
      </c>
      <c r="C240" s="100">
        <f t="shared" si="34"/>
        <v>0</v>
      </c>
      <c r="D240" s="100">
        <f t="shared" si="35"/>
        <v>119.26359149900578</v>
      </c>
      <c r="E240" s="101">
        <f t="shared" si="28"/>
        <v>0</v>
      </c>
      <c r="F240" s="100">
        <f t="shared" si="29"/>
        <v>0</v>
      </c>
      <c r="G240" s="100">
        <f t="shared" si="32"/>
        <v>0</v>
      </c>
      <c r="H240" s="100">
        <f t="shared" si="33"/>
        <v>0</v>
      </c>
      <c r="I240" s="100">
        <f t="shared" si="30"/>
        <v>0</v>
      </c>
      <c r="J240" s="93"/>
      <c r="K240" s="93"/>
    </row>
    <row r="241" spans="1:11" ht="12.75">
      <c r="A241" s="96">
        <f t="shared" si="31"/>
        <v>224</v>
      </c>
      <c r="B241" s="97">
        <f t="shared" si="27"/>
        <v>46997</v>
      </c>
      <c r="C241" s="100">
        <f t="shared" si="34"/>
        <v>0</v>
      </c>
      <c r="D241" s="100">
        <f t="shared" si="35"/>
        <v>119.26359149900578</v>
      </c>
      <c r="E241" s="101">
        <f t="shared" si="28"/>
        <v>0</v>
      </c>
      <c r="F241" s="100">
        <f t="shared" si="29"/>
        <v>0</v>
      </c>
      <c r="G241" s="100">
        <f t="shared" si="32"/>
        <v>0</v>
      </c>
      <c r="H241" s="100">
        <f t="shared" si="33"/>
        <v>0</v>
      </c>
      <c r="I241" s="100">
        <f t="shared" si="30"/>
        <v>0</v>
      </c>
      <c r="J241" s="93"/>
      <c r="K241" s="93"/>
    </row>
    <row r="242" spans="1:11" ht="12.75">
      <c r="A242" s="96">
        <f t="shared" si="31"/>
        <v>225</v>
      </c>
      <c r="B242" s="97">
        <f t="shared" si="27"/>
        <v>47027</v>
      </c>
      <c r="C242" s="100">
        <f t="shared" si="34"/>
        <v>0</v>
      </c>
      <c r="D242" s="100">
        <f t="shared" si="35"/>
        <v>119.26359149900578</v>
      </c>
      <c r="E242" s="101">
        <f t="shared" si="28"/>
        <v>0</v>
      </c>
      <c r="F242" s="100">
        <f t="shared" si="29"/>
        <v>0</v>
      </c>
      <c r="G242" s="100">
        <f t="shared" si="32"/>
        <v>0</v>
      </c>
      <c r="H242" s="100">
        <f t="shared" si="33"/>
        <v>0</v>
      </c>
      <c r="I242" s="100">
        <f t="shared" si="30"/>
        <v>0</v>
      </c>
      <c r="J242" s="93"/>
      <c r="K242" s="93"/>
    </row>
    <row r="243" spans="1:11" ht="12.75">
      <c r="A243" s="96">
        <f t="shared" si="31"/>
        <v>226</v>
      </c>
      <c r="B243" s="97">
        <f t="shared" si="27"/>
        <v>47058</v>
      </c>
      <c r="C243" s="100">
        <f t="shared" si="34"/>
        <v>0</v>
      </c>
      <c r="D243" s="100">
        <f t="shared" si="35"/>
        <v>119.26359149900578</v>
      </c>
      <c r="E243" s="101">
        <f t="shared" si="28"/>
        <v>0</v>
      </c>
      <c r="F243" s="100">
        <f t="shared" si="29"/>
        <v>0</v>
      </c>
      <c r="G243" s="100">
        <f t="shared" si="32"/>
        <v>0</v>
      </c>
      <c r="H243" s="100">
        <f t="shared" si="33"/>
        <v>0</v>
      </c>
      <c r="I243" s="100">
        <f t="shared" si="30"/>
        <v>0</v>
      </c>
      <c r="J243" s="93"/>
      <c r="K243" s="93"/>
    </row>
    <row r="244" spans="1:11" ht="12.75">
      <c r="A244" s="96">
        <f t="shared" si="31"/>
        <v>227</v>
      </c>
      <c r="B244" s="97">
        <f t="shared" si="27"/>
        <v>47088</v>
      </c>
      <c r="C244" s="100">
        <f t="shared" si="34"/>
        <v>0</v>
      </c>
      <c r="D244" s="100">
        <f t="shared" si="35"/>
        <v>119.26359149900578</v>
      </c>
      <c r="E244" s="101">
        <f t="shared" si="28"/>
        <v>0</v>
      </c>
      <c r="F244" s="100">
        <f t="shared" si="29"/>
        <v>0</v>
      </c>
      <c r="G244" s="100">
        <f t="shared" si="32"/>
        <v>0</v>
      </c>
      <c r="H244" s="100">
        <f t="shared" si="33"/>
        <v>0</v>
      </c>
      <c r="I244" s="100">
        <f t="shared" si="30"/>
        <v>0</v>
      </c>
      <c r="J244" s="93"/>
      <c r="K244" s="93"/>
    </row>
    <row r="245" spans="1:11" ht="12.75">
      <c r="A245" s="96">
        <f t="shared" si="31"/>
        <v>228</v>
      </c>
      <c r="B245" s="97">
        <f t="shared" si="27"/>
        <v>47119</v>
      </c>
      <c r="C245" s="100">
        <f t="shared" si="34"/>
        <v>0</v>
      </c>
      <c r="D245" s="100">
        <f t="shared" si="35"/>
        <v>119.26359149900578</v>
      </c>
      <c r="E245" s="101">
        <f t="shared" si="28"/>
        <v>0</v>
      </c>
      <c r="F245" s="100">
        <f t="shared" si="29"/>
        <v>0</v>
      </c>
      <c r="G245" s="100">
        <f t="shared" si="32"/>
        <v>0</v>
      </c>
      <c r="H245" s="100">
        <f t="shared" si="33"/>
        <v>0</v>
      </c>
      <c r="I245" s="100">
        <f t="shared" si="30"/>
        <v>0</v>
      </c>
      <c r="J245" s="93"/>
      <c r="K245" s="93"/>
    </row>
    <row r="246" spans="1:11" ht="12.75">
      <c r="A246" s="96">
        <f t="shared" si="31"/>
        <v>229</v>
      </c>
      <c r="B246" s="97">
        <f t="shared" si="27"/>
        <v>47150</v>
      </c>
      <c r="C246" s="100">
        <f t="shared" si="34"/>
        <v>0</v>
      </c>
      <c r="D246" s="100">
        <f t="shared" si="35"/>
        <v>119.26359149900578</v>
      </c>
      <c r="E246" s="101">
        <f t="shared" si="28"/>
        <v>0</v>
      </c>
      <c r="F246" s="100">
        <f t="shared" si="29"/>
        <v>0</v>
      </c>
      <c r="G246" s="100">
        <f t="shared" si="32"/>
        <v>0</v>
      </c>
      <c r="H246" s="100">
        <f t="shared" si="33"/>
        <v>0</v>
      </c>
      <c r="I246" s="100">
        <f t="shared" si="30"/>
        <v>0</v>
      </c>
      <c r="J246" s="93"/>
      <c r="K246" s="93"/>
    </row>
    <row r="247" spans="1:11" ht="12.75">
      <c r="A247" s="96">
        <f t="shared" si="31"/>
        <v>230</v>
      </c>
      <c r="B247" s="97">
        <f t="shared" si="27"/>
        <v>47178</v>
      </c>
      <c r="C247" s="100">
        <f t="shared" si="34"/>
        <v>0</v>
      </c>
      <c r="D247" s="100">
        <f t="shared" si="35"/>
        <v>119.26359149900578</v>
      </c>
      <c r="E247" s="101">
        <f t="shared" si="28"/>
        <v>0</v>
      </c>
      <c r="F247" s="100">
        <f t="shared" si="29"/>
        <v>0</v>
      </c>
      <c r="G247" s="100">
        <f t="shared" si="32"/>
        <v>0</v>
      </c>
      <c r="H247" s="100">
        <f t="shared" si="33"/>
        <v>0</v>
      </c>
      <c r="I247" s="100">
        <f t="shared" si="30"/>
        <v>0</v>
      </c>
      <c r="J247" s="93"/>
      <c r="K247" s="93"/>
    </row>
    <row r="248" spans="1:11" ht="12.75">
      <c r="A248" s="96">
        <f t="shared" si="31"/>
        <v>231</v>
      </c>
      <c r="B248" s="97">
        <f t="shared" si="27"/>
        <v>47209</v>
      </c>
      <c r="C248" s="100">
        <f t="shared" si="34"/>
        <v>0</v>
      </c>
      <c r="D248" s="100">
        <f t="shared" si="35"/>
        <v>119.26359149900578</v>
      </c>
      <c r="E248" s="101">
        <f t="shared" si="28"/>
        <v>0</v>
      </c>
      <c r="F248" s="100">
        <f t="shared" si="29"/>
        <v>0</v>
      </c>
      <c r="G248" s="100">
        <f t="shared" si="32"/>
        <v>0</v>
      </c>
      <c r="H248" s="100">
        <f t="shared" si="33"/>
        <v>0</v>
      </c>
      <c r="I248" s="100">
        <f t="shared" si="30"/>
        <v>0</v>
      </c>
      <c r="J248" s="93"/>
      <c r="K248" s="93"/>
    </row>
    <row r="249" spans="1:11" ht="12.75">
      <c r="A249" s="96">
        <f t="shared" si="31"/>
        <v>232</v>
      </c>
      <c r="B249" s="97">
        <f t="shared" si="27"/>
        <v>47239</v>
      </c>
      <c r="C249" s="100">
        <f t="shared" si="34"/>
        <v>0</v>
      </c>
      <c r="D249" s="100">
        <f t="shared" si="35"/>
        <v>119.26359149900578</v>
      </c>
      <c r="E249" s="101">
        <f t="shared" si="28"/>
        <v>0</v>
      </c>
      <c r="F249" s="100">
        <f t="shared" si="29"/>
        <v>0</v>
      </c>
      <c r="G249" s="100">
        <f t="shared" si="32"/>
        <v>0</v>
      </c>
      <c r="H249" s="100">
        <f t="shared" si="33"/>
        <v>0</v>
      </c>
      <c r="I249" s="100">
        <f t="shared" si="30"/>
        <v>0</v>
      </c>
      <c r="J249" s="93"/>
      <c r="K249" s="93"/>
    </row>
    <row r="250" spans="1:11" ht="12.75">
      <c r="A250" s="96">
        <f t="shared" si="31"/>
        <v>233</v>
      </c>
      <c r="B250" s="97">
        <f t="shared" si="27"/>
        <v>47270</v>
      </c>
      <c r="C250" s="100">
        <f t="shared" si="34"/>
        <v>0</v>
      </c>
      <c r="D250" s="100">
        <f t="shared" si="35"/>
        <v>119.26359149900578</v>
      </c>
      <c r="E250" s="101">
        <f t="shared" si="28"/>
        <v>0</v>
      </c>
      <c r="F250" s="100">
        <f t="shared" si="29"/>
        <v>0</v>
      </c>
      <c r="G250" s="100">
        <f t="shared" si="32"/>
        <v>0</v>
      </c>
      <c r="H250" s="100">
        <f t="shared" si="33"/>
        <v>0</v>
      </c>
      <c r="I250" s="100">
        <f t="shared" si="30"/>
        <v>0</v>
      </c>
      <c r="J250" s="93"/>
      <c r="K250" s="93"/>
    </row>
    <row r="251" spans="1:11" ht="12.75">
      <c r="A251" s="96">
        <f t="shared" si="31"/>
        <v>234</v>
      </c>
      <c r="B251" s="97">
        <f t="shared" si="27"/>
        <v>47300</v>
      </c>
      <c r="C251" s="100">
        <f t="shared" si="34"/>
        <v>0</v>
      </c>
      <c r="D251" s="100">
        <f t="shared" si="35"/>
        <v>119.26359149900578</v>
      </c>
      <c r="E251" s="101">
        <f t="shared" si="28"/>
        <v>0</v>
      </c>
      <c r="F251" s="100">
        <f t="shared" si="29"/>
        <v>0</v>
      </c>
      <c r="G251" s="100">
        <f t="shared" si="32"/>
        <v>0</v>
      </c>
      <c r="H251" s="100">
        <f t="shared" si="33"/>
        <v>0</v>
      </c>
      <c r="I251" s="100">
        <f t="shared" si="30"/>
        <v>0</v>
      </c>
      <c r="J251" s="93"/>
      <c r="K251" s="93"/>
    </row>
    <row r="252" spans="1:11" ht="12.75">
      <c r="A252" s="96">
        <f t="shared" si="31"/>
        <v>235</v>
      </c>
      <c r="B252" s="97">
        <f t="shared" si="27"/>
        <v>47331</v>
      </c>
      <c r="C252" s="100">
        <f t="shared" si="34"/>
        <v>0</v>
      </c>
      <c r="D252" s="100">
        <f t="shared" si="35"/>
        <v>119.26359149900578</v>
      </c>
      <c r="E252" s="101">
        <f t="shared" si="28"/>
        <v>0</v>
      </c>
      <c r="F252" s="100">
        <f t="shared" si="29"/>
        <v>0</v>
      </c>
      <c r="G252" s="100">
        <f t="shared" si="32"/>
        <v>0</v>
      </c>
      <c r="H252" s="100">
        <f t="shared" si="33"/>
        <v>0</v>
      </c>
      <c r="I252" s="100">
        <f t="shared" si="30"/>
        <v>0</v>
      </c>
      <c r="J252" s="93"/>
      <c r="K252" s="93"/>
    </row>
    <row r="253" spans="1:11" ht="12.75">
      <c r="A253" s="96">
        <f t="shared" si="31"/>
        <v>236</v>
      </c>
      <c r="B253" s="97">
        <f t="shared" si="27"/>
        <v>47362</v>
      </c>
      <c r="C253" s="100">
        <f t="shared" si="34"/>
        <v>0</v>
      </c>
      <c r="D253" s="100">
        <f t="shared" si="35"/>
        <v>119.26359149900578</v>
      </c>
      <c r="E253" s="101">
        <f t="shared" si="28"/>
        <v>0</v>
      </c>
      <c r="F253" s="100">
        <f t="shared" si="29"/>
        <v>0</v>
      </c>
      <c r="G253" s="100">
        <f t="shared" si="32"/>
        <v>0</v>
      </c>
      <c r="H253" s="100">
        <f t="shared" si="33"/>
        <v>0</v>
      </c>
      <c r="I253" s="100">
        <f t="shared" si="30"/>
        <v>0</v>
      </c>
      <c r="J253" s="93"/>
      <c r="K253" s="93"/>
    </row>
    <row r="254" spans="1:11" ht="12.75">
      <c r="A254" s="96">
        <f t="shared" si="31"/>
        <v>237</v>
      </c>
      <c r="B254" s="97">
        <f t="shared" si="27"/>
        <v>47392</v>
      </c>
      <c r="C254" s="100">
        <f t="shared" si="34"/>
        <v>0</v>
      </c>
      <c r="D254" s="100">
        <f t="shared" si="35"/>
        <v>119.26359149900578</v>
      </c>
      <c r="E254" s="101">
        <f t="shared" si="28"/>
        <v>0</v>
      </c>
      <c r="F254" s="100">
        <f t="shared" si="29"/>
        <v>0</v>
      </c>
      <c r="G254" s="100">
        <f t="shared" si="32"/>
        <v>0</v>
      </c>
      <c r="H254" s="100">
        <f t="shared" si="33"/>
        <v>0</v>
      </c>
      <c r="I254" s="100">
        <f t="shared" si="30"/>
        <v>0</v>
      </c>
      <c r="J254" s="93"/>
      <c r="K254" s="93"/>
    </row>
    <row r="255" spans="1:11" ht="12.75">
      <c r="A255" s="96">
        <f t="shared" si="31"/>
        <v>238</v>
      </c>
      <c r="B255" s="97">
        <f t="shared" si="27"/>
        <v>47423</v>
      </c>
      <c r="C255" s="100">
        <f t="shared" si="34"/>
        <v>0</v>
      </c>
      <c r="D255" s="100">
        <f t="shared" si="35"/>
        <v>119.26359149900578</v>
      </c>
      <c r="E255" s="101">
        <f t="shared" si="28"/>
        <v>0</v>
      </c>
      <c r="F255" s="100">
        <f t="shared" si="29"/>
        <v>0</v>
      </c>
      <c r="G255" s="100">
        <f t="shared" si="32"/>
        <v>0</v>
      </c>
      <c r="H255" s="100">
        <f t="shared" si="33"/>
        <v>0</v>
      </c>
      <c r="I255" s="100">
        <f t="shared" si="30"/>
        <v>0</v>
      </c>
      <c r="J255" s="93"/>
      <c r="K255" s="93"/>
    </row>
    <row r="256" spans="1:11" ht="12.75">
      <c r="A256" s="96">
        <f t="shared" si="31"/>
        <v>239</v>
      </c>
      <c r="B256" s="97">
        <f t="shared" si="27"/>
        <v>47453</v>
      </c>
      <c r="C256" s="100">
        <f t="shared" si="34"/>
        <v>0</v>
      </c>
      <c r="D256" s="100">
        <f t="shared" si="35"/>
        <v>119.26359149900578</v>
      </c>
      <c r="E256" s="101">
        <f t="shared" si="28"/>
        <v>0</v>
      </c>
      <c r="F256" s="100">
        <f t="shared" si="29"/>
        <v>0</v>
      </c>
      <c r="G256" s="100">
        <f t="shared" si="32"/>
        <v>0</v>
      </c>
      <c r="H256" s="100">
        <f t="shared" si="33"/>
        <v>0</v>
      </c>
      <c r="I256" s="100">
        <f t="shared" si="30"/>
        <v>0</v>
      </c>
      <c r="J256" s="93"/>
      <c r="K256" s="93"/>
    </row>
    <row r="257" spans="1:11" ht="12.75">
      <c r="A257" s="96">
        <f t="shared" si="31"/>
        <v>240</v>
      </c>
      <c r="B257" s="97">
        <f t="shared" si="27"/>
        <v>47484</v>
      </c>
      <c r="C257" s="100">
        <f t="shared" si="34"/>
        <v>0</v>
      </c>
      <c r="D257" s="100">
        <f t="shared" si="35"/>
        <v>119.26359149900578</v>
      </c>
      <c r="E257" s="101">
        <f t="shared" si="28"/>
        <v>0</v>
      </c>
      <c r="F257" s="100">
        <f t="shared" si="29"/>
        <v>0</v>
      </c>
      <c r="G257" s="100">
        <f t="shared" si="32"/>
        <v>0</v>
      </c>
      <c r="H257" s="100">
        <f t="shared" si="33"/>
        <v>0</v>
      </c>
      <c r="I257" s="100">
        <f t="shared" si="30"/>
        <v>0</v>
      </c>
      <c r="J257" s="93"/>
      <c r="K257" s="93"/>
    </row>
    <row r="258" spans="1:11" ht="12.75">
      <c r="A258" s="96">
        <f t="shared" si="31"/>
        <v>241</v>
      </c>
      <c r="B258" s="97">
        <f t="shared" si="27"/>
        <v>47515</v>
      </c>
      <c r="C258" s="100">
        <f t="shared" si="34"/>
        <v>0</v>
      </c>
      <c r="D258" s="100">
        <f t="shared" si="35"/>
        <v>119.26359149900578</v>
      </c>
      <c r="E258" s="101">
        <f t="shared" si="28"/>
        <v>0</v>
      </c>
      <c r="F258" s="100">
        <f t="shared" si="29"/>
        <v>0</v>
      </c>
      <c r="G258" s="100">
        <f t="shared" si="32"/>
        <v>0</v>
      </c>
      <c r="H258" s="100">
        <f t="shared" si="33"/>
        <v>0</v>
      </c>
      <c r="I258" s="100">
        <f t="shared" si="30"/>
        <v>0</v>
      </c>
      <c r="J258" s="93"/>
      <c r="K258" s="93"/>
    </row>
    <row r="259" spans="1:11" ht="12.75">
      <c r="A259" s="96">
        <f t="shared" si="31"/>
        <v>242</v>
      </c>
      <c r="B259" s="97">
        <f t="shared" si="27"/>
        <v>47543</v>
      </c>
      <c r="C259" s="100">
        <f t="shared" si="34"/>
        <v>0</v>
      </c>
      <c r="D259" s="100">
        <f t="shared" si="35"/>
        <v>119.26359149900578</v>
      </c>
      <c r="E259" s="101">
        <f t="shared" si="28"/>
        <v>0</v>
      </c>
      <c r="F259" s="100">
        <f t="shared" si="29"/>
        <v>0</v>
      </c>
      <c r="G259" s="100">
        <f t="shared" si="32"/>
        <v>0</v>
      </c>
      <c r="H259" s="100">
        <f t="shared" si="33"/>
        <v>0</v>
      </c>
      <c r="I259" s="100">
        <f t="shared" si="30"/>
        <v>0</v>
      </c>
      <c r="J259" s="93"/>
      <c r="K259" s="93"/>
    </row>
    <row r="260" spans="1:11" ht="12.75">
      <c r="A260" s="96">
        <f t="shared" si="31"/>
        <v>243</v>
      </c>
      <c r="B260" s="97">
        <f t="shared" si="27"/>
        <v>47574</v>
      </c>
      <c r="C260" s="100">
        <f t="shared" si="34"/>
        <v>0</v>
      </c>
      <c r="D260" s="100">
        <f t="shared" si="35"/>
        <v>119.26359149900578</v>
      </c>
      <c r="E260" s="101">
        <f t="shared" si="28"/>
        <v>0</v>
      </c>
      <c r="F260" s="100">
        <f t="shared" si="29"/>
        <v>0</v>
      </c>
      <c r="G260" s="100">
        <f t="shared" si="32"/>
        <v>0</v>
      </c>
      <c r="H260" s="100">
        <f t="shared" si="33"/>
        <v>0</v>
      </c>
      <c r="I260" s="100">
        <f t="shared" si="30"/>
        <v>0</v>
      </c>
      <c r="J260" s="93"/>
      <c r="K260" s="93"/>
    </row>
    <row r="261" spans="1:11" ht="12.75">
      <c r="A261" s="96">
        <f t="shared" si="31"/>
        <v>244</v>
      </c>
      <c r="B261" s="97">
        <f t="shared" si="27"/>
        <v>47604</v>
      </c>
      <c r="C261" s="100">
        <f t="shared" si="34"/>
        <v>0</v>
      </c>
      <c r="D261" s="100">
        <f t="shared" si="35"/>
        <v>119.26359149900578</v>
      </c>
      <c r="E261" s="101">
        <f t="shared" si="28"/>
        <v>0</v>
      </c>
      <c r="F261" s="100">
        <f t="shared" si="29"/>
        <v>0</v>
      </c>
      <c r="G261" s="100">
        <f t="shared" si="32"/>
        <v>0</v>
      </c>
      <c r="H261" s="100">
        <f t="shared" si="33"/>
        <v>0</v>
      </c>
      <c r="I261" s="100">
        <f t="shared" si="30"/>
        <v>0</v>
      </c>
      <c r="J261" s="93"/>
      <c r="K261" s="93"/>
    </row>
    <row r="262" spans="1:11" ht="12.75">
      <c r="A262" s="96">
        <f t="shared" si="31"/>
        <v>245</v>
      </c>
      <c r="B262" s="97">
        <f t="shared" si="27"/>
        <v>47635</v>
      </c>
      <c r="C262" s="100">
        <f t="shared" si="34"/>
        <v>0</v>
      </c>
      <c r="D262" s="100">
        <f t="shared" si="35"/>
        <v>119.26359149900578</v>
      </c>
      <c r="E262" s="101">
        <f t="shared" si="28"/>
        <v>0</v>
      </c>
      <c r="F262" s="100">
        <f t="shared" si="29"/>
        <v>0</v>
      </c>
      <c r="G262" s="100">
        <f t="shared" si="32"/>
        <v>0</v>
      </c>
      <c r="H262" s="100">
        <f t="shared" si="33"/>
        <v>0</v>
      </c>
      <c r="I262" s="100">
        <f t="shared" si="30"/>
        <v>0</v>
      </c>
      <c r="J262" s="93"/>
      <c r="K262" s="93"/>
    </row>
    <row r="263" spans="1:11" ht="12.75">
      <c r="A263" s="96">
        <f t="shared" si="31"/>
        <v>246</v>
      </c>
      <c r="B263" s="97">
        <f t="shared" si="27"/>
        <v>47665</v>
      </c>
      <c r="C263" s="100">
        <f t="shared" si="34"/>
        <v>0</v>
      </c>
      <c r="D263" s="100">
        <f t="shared" si="35"/>
        <v>119.26359149900578</v>
      </c>
      <c r="E263" s="101">
        <f t="shared" si="28"/>
        <v>0</v>
      </c>
      <c r="F263" s="100">
        <f t="shared" si="29"/>
        <v>0</v>
      </c>
      <c r="G263" s="100">
        <f t="shared" si="32"/>
        <v>0</v>
      </c>
      <c r="H263" s="100">
        <f t="shared" si="33"/>
        <v>0</v>
      </c>
      <c r="I263" s="100">
        <f t="shared" si="30"/>
        <v>0</v>
      </c>
      <c r="J263" s="93"/>
      <c r="K263" s="93"/>
    </row>
    <row r="264" spans="1:11" ht="12.75">
      <c r="A264" s="96">
        <f t="shared" si="31"/>
        <v>247</v>
      </c>
      <c r="B264" s="97">
        <f t="shared" si="27"/>
        <v>47696</v>
      </c>
      <c r="C264" s="100">
        <f t="shared" si="34"/>
        <v>0</v>
      </c>
      <c r="D264" s="100">
        <f t="shared" si="35"/>
        <v>119.26359149900578</v>
      </c>
      <c r="E264" s="101">
        <f t="shared" si="28"/>
        <v>0</v>
      </c>
      <c r="F264" s="100">
        <f t="shared" si="29"/>
        <v>0</v>
      </c>
      <c r="G264" s="100">
        <f t="shared" si="32"/>
        <v>0</v>
      </c>
      <c r="H264" s="100">
        <f t="shared" si="33"/>
        <v>0</v>
      </c>
      <c r="I264" s="100">
        <f t="shared" si="30"/>
        <v>0</v>
      </c>
      <c r="J264" s="93"/>
      <c r="K264" s="93"/>
    </row>
    <row r="265" spans="1:11" ht="12.75">
      <c r="A265" s="96">
        <f t="shared" si="31"/>
        <v>248</v>
      </c>
      <c r="B265" s="97">
        <f t="shared" si="27"/>
        <v>47727</v>
      </c>
      <c r="C265" s="100">
        <f t="shared" si="34"/>
        <v>0</v>
      </c>
      <c r="D265" s="100">
        <f t="shared" si="35"/>
        <v>119.26359149900578</v>
      </c>
      <c r="E265" s="101">
        <f t="shared" si="28"/>
        <v>0</v>
      </c>
      <c r="F265" s="100">
        <f t="shared" si="29"/>
        <v>0</v>
      </c>
      <c r="G265" s="100">
        <f t="shared" si="32"/>
        <v>0</v>
      </c>
      <c r="H265" s="100">
        <f t="shared" si="33"/>
        <v>0</v>
      </c>
      <c r="I265" s="100">
        <f t="shared" si="30"/>
        <v>0</v>
      </c>
      <c r="J265" s="93"/>
      <c r="K265" s="93"/>
    </row>
    <row r="266" spans="1:11" ht="12.75">
      <c r="A266" s="96">
        <f t="shared" si="31"/>
        <v>249</v>
      </c>
      <c r="B266" s="97">
        <f t="shared" si="27"/>
        <v>47757</v>
      </c>
      <c r="C266" s="100">
        <f t="shared" si="34"/>
        <v>0</v>
      </c>
      <c r="D266" s="100">
        <f t="shared" si="35"/>
        <v>119.26359149900578</v>
      </c>
      <c r="E266" s="101">
        <f t="shared" si="28"/>
        <v>0</v>
      </c>
      <c r="F266" s="100">
        <f t="shared" si="29"/>
        <v>0</v>
      </c>
      <c r="G266" s="100">
        <f t="shared" si="32"/>
        <v>0</v>
      </c>
      <c r="H266" s="100">
        <f t="shared" si="33"/>
        <v>0</v>
      </c>
      <c r="I266" s="100">
        <f t="shared" si="30"/>
        <v>0</v>
      </c>
      <c r="J266" s="93"/>
      <c r="K266" s="93"/>
    </row>
    <row r="267" spans="1:11" ht="12.75">
      <c r="A267" s="96">
        <f t="shared" si="31"/>
        <v>250</v>
      </c>
      <c r="B267" s="97">
        <f t="shared" si="27"/>
        <v>47788</v>
      </c>
      <c r="C267" s="100">
        <f t="shared" si="34"/>
        <v>0</v>
      </c>
      <c r="D267" s="100">
        <f t="shared" si="35"/>
        <v>119.26359149900578</v>
      </c>
      <c r="E267" s="101">
        <f t="shared" si="28"/>
        <v>0</v>
      </c>
      <c r="F267" s="100">
        <f t="shared" si="29"/>
        <v>0</v>
      </c>
      <c r="G267" s="100">
        <f t="shared" si="32"/>
        <v>0</v>
      </c>
      <c r="H267" s="100">
        <f t="shared" si="33"/>
        <v>0</v>
      </c>
      <c r="I267" s="100">
        <f t="shared" si="30"/>
        <v>0</v>
      </c>
      <c r="J267" s="93"/>
      <c r="K267" s="93"/>
    </row>
    <row r="268" spans="1:11" ht="12.75">
      <c r="A268" s="96">
        <f t="shared" si="31"/>
        <v>251</v>
      </c>
      <c r="B268" s="97">
        <f t="shared" si="27"/>
        <v>47818</v>
      </c>
      <c r="C268" s="100">
        <f t="shared" si="34"/>
        <v>0</v>
      </c>
      <c r="D268" s="100">
        <f t="shared" si="35"/>
        <v>119.26359149900578</v>
      </c>
      <c r="E268" s="101">
        <f t="shared" si="28"/>
        <v>0</v>
      </c>
      <c r="F268" s="100">
        <f t="shared" si="29"/>
        <v>0</v>
      </c>
      <c r="G268" s="100">
        <f t="shared" si="32"/>
        <v>0</v>
      </c>
      <c r="H268" s="100">
        <f t="shared" si="33"/>
        <v>0</v>
      </c>
      <c r="I268" s="100">
        <f t="shared" si="30"/>
        <v>0</v>
      </c>
      <c r="J268" s="93"/>
      <c r="K268" s="93"/>
    </row>
    <row r="269" spans="1:11" ht="12.75">
      <c r="A269" s="96">
        <f t="shared" si="31"/>
        <v>252</v>
      </c>
      <c r="B269" s="97">
        <f t="shared" si="27"/>
        <v>47849</v>
      </c>
      <c r="C269" s="100">
        <f t="shared" si="34"/>
        <v>0</v>
      </c>
      <c r="D269" s="100">
        <f t="shared" si="35"/>
        <v>119.26359149900578</v>
      </c>
      <c r="E269" s="101">
        <f t="shared" si="28"/>
        <v>0</v>
      </c>
      <c r="F269" s="100">
        <f t="shared" si="29"/>
        <v>0</v>
      </c>
      <c r="G269" s="100">
        <f t="shared" si="32"/>
        <v>0</v>
      </c>
      <c r="H269" s="100">
        <f t="shared" si="33"/>
        <v>0</v>
      </c>
      <c r="I269" s="100">
        <f t="shared" si="30"/>
        <v>0</v>
      </c>
      <c r="J269" s="93"/>
      <c r="K269" s="93"/>
    </row>
    <row r="270" spans="1:11" ht="12.75">
      <c r="A270" s="96">
        <f t="shared" si="31"/>
        <v>253</v>
      </c>
      <c r="B270" s="97">
        <f t="shared" si="27"/>
        <v>47880</v>
      </c>
      <c r="C270" s="100">
        <f t="shared" si="34"/>
        <v>0</v>
      </c>
      <c r="D270" s="100">
        <f t="shared" si="35"/>
        <v>119.26359149900578</v>
      </c>
      <c r="E270" s="101">
        <f t="shared" si="28"/>
        <v>0</v>
      </c>
      <c r="F270" s="100">
        <f t="shared" si="29"/>
        <v>0</v>
      </c>
      <c r="G270" s="100">
        <f t="shared" si="32"/>
        <v>0</v>
      </c>
      <c r="H270" s="100">
        <f t="shared" si="33"/>
        <v>0</v>
      </c>
      <c r="I270" s="100">
        <f t="shared" si="30"/>
        <v>0</v>
      </c>
      <c r="J270" s="93"/>
      <c r="K270" s="93"/>
    </row>
    <row r="271" spans="1:11" ht="12.75">
      <c r="A271" s="96">
        <f t="shared" si="31"/>
        <v>254</v>
      </c>
      <c r="B271" s="97">
        <f t="shared" si="27"/>
        <v>47908</v>
      </c>
      <c r="C271" s="100">
        <f t="shared" si="34"/>
        <v>0</v>
      </c>
      <c r="D271" s="100">
        <f t="shared" si="35"/>
        <v>119.26359149900578</v>
      </c>
      <c r="E271" s="101">
        <f t="shared" si="28"/>
        <v>0</v>
      </c>
      <c r="F271" s="100">
        <f t="shared" si="29"/>
        <v>0</v>
      </c>
      <c r="G271" s="100">
        <f t="shared" si="32"/>
        <v>0</v>
      </c>
      <c r="H271" s="100">
        <f t="shared" si="33"/>
        <v>0</v>
      </c>
      <c r="I271" s="100">
        <f t="shared" si="30"/>
        <v>0</v>
      </c>
      <c r="J271" s="93"/>
      <c r="K271" s="93"/>
    </row>
    <row r="272" spans="1:11" ht="12.75">
      <c r="A272" s="96">
        <f t="shared" si="31"/>
        <v>255</v>
      </c>
      <c r="B272" s="97">
        <f t="shared" si="27"/>
        <v>47939</v>
      </c>
      <c r="C272" s="100">
        <f t="shared" si="34"/>
        <v>0</v>
      </c>
      <c r="D272" s="100">
        <f t="shared" si="35"/>
        <v>119.26359149900578</v>
      </c>
      <c r="E272" s="101">
        <f t="shared" si="28"/>
        <v>0</v>
      </c>
      <c r="F272" s="100">
        <f t="shared" si="29"/>
        <v>0</v>
      </c>
      <c r="G272" s="100">
        <f t="shared" si="32"/>
        <v>0</v>
      </c>
      <c r="H272" s="100">
        <f t="shared" si="33"/>
        <v>0</v>
      </c>
      <c r="I272" s="100">
        <f t="shared" si="30"/>
        <v>0</v>
      </c>
      <c r="J272" s="93"/>
      <c r="K272" s="93"/>
    </row>
    <row r="273" spans="1:11" ht="12.75">
      <c r="A273" s="96">
        <f t="shared" si="31"/>
        <v>256</v>
      </c>
      <c r="B273" s="97">
        <f t="shared" si="27"/>
        <v>47969</v>
      </c>
      <c r="C273" s="100">
        <f t="shared" si="34"/>
        <v>0</v>
      </c>
      <c r="D273" s="100">
        <f t="shared" si="35"/>
        <v>119.26359149900578</v>
      </c>
      <c r="E273" s="101">
        <f t="shared" si="28"/>
        <v>0</v>
      </c>
      <c r="F273" s="100">
        <f t="shared" si="29"/>
        <v>0</v>
      </c>
      <c r="G273" s="100">
        <f t="shared" si="32"/>
        <v>0</v>
      </c>
      <c r="H273" s="100">
        <f t="shared" si="33"/>
        <v>0</v>
      </c>
      <c r="I273" s="100">
        <f t="shared" si="30"/>
        <v>0</v>
      </c>
      <c r="J273" s="93"/>
      <c r="K273" s="93"/>
    </row>
    <row r="274" spans="1:11" ht="12.75">
      <c r="A274" s="96">
        <f t="shared" si="31"/>
        <v>257</v>
      </c>
      <c r="B274" s="97">
        <f aca="true" t="shared" si="36" ref="B274:B337">IF(Pay_Num&lt;&gt;"",DATE(YEAR(Loan_Start),MONTH(Loan_Start)+(Pay_Num)*12/Num_Pmt_Per_Year,DAY(Loan_Start)),"")</f>
        <v>48000</v>
      </c>
      <c r="C274" s="100">
        <f t="shared" si="34"/>
        <v>0</v>
      </c>
      <c r="D274" s="100">
        <f t="shared" si="35"/>
        <v>119.26359149900578</v>
      </c>
      <c r="E274" s="101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100">
        <f aca="true" t="shared" si="38" ref="F274:F337">IF(AND(Pay_Num&lt;&gt;"",Sched_Pay+Extra_Pay&lt;Beg_Bal),Sched_Pay+Extra_Pay,IF(Pay_Num&lt;&gt;"",Beg_Bal,""))</f>
        <v>0</v>
      </c>
      <c r="G274" s="100">
        <f t="shared" si="32"/>
        <v>0</v>
      </c>
      <c r="H274" s="100">
        <f t="shared" si="33"/>
        <v>0</v>
      </c>
      <c r="I274" s="100">
        <f aca="true" t="shared" si="39" ref="I274:I337">IF(AND(Pay_Num&lt;&gt;"",Sched_Pay+Extra_Pay&lt;Beg_Bal),Beg_Bal-Princ,IF(Pay_Num&lt;&gt;"",0,""))</f>
        <v>0</v>
      </c>
      <c r="J274" s="93"/>
      <c r="K274" s="93"/>
    </row>
    <row r="275" spans="1:11" ht="12.75">
      <c r="A275" s="96">
        <f aca="true" t="shared" si="40" ref="A275:A338">IF(Values_Entered,A274+1,"")</f>
        <v>258</v>
      </c>
      <c r="B275" s="97">
        <f t="shared" si="36"/>
        <v>48030</v>
      </c>
      <c r="C275" s="100">
        <f t="shared" si="34"/>
        <v>0</v>
      </c>
      <c r="D275" s="100">
        <f t="shared" si="35"/>
        <v>119.26359149900578</v>
      </c>
      <c r="E275" s="101">
        <f t="shared" si="37"/>
        <v>0</v>
      </c>
      <c r="F275" s="100">
        <f t="shared" si="38"/>
        <v>0</v>
      </c>
      <c r="G275" s="100">
        <f aca="true" t="shared" si="41" ref="G275:G338">IF(Pay_Num&lt;&gt;"",Total_Pay-Int,"")</f>
        <v>0</v>
      </c>
      <c r="H275" s="100">
        <f aca="true" t="shared" si="42" ref="H275:H338">IF(Pay_Num&lt;&gt;"",Beg_Bal*Interest_Rate/Num_Pmt_Per_Year,"")</f>
        <v>0</v>
      </c>
      <c r="I275" s="100">
        <f t="shared" si="39"/>
        <v>0</v>
      </c>
      <c r="J275" s="93"/>
      <c r="K275" s="93"/>
    </row>
    <row r="276" spans="1:11" ht="12.75">
      <c r="A276" s="96">
        <f t="shared" si="40"/>
        <v>259</v>
      </c>
      <c r="B276" s="97">
        <f t="shared" si="36"/>
        <v>48061</v>
      </c>
      <c r="C276" s="100">
        <f aca="true" t="shared" si="43" ref="C276:C339">IF(Pay_Num&lt;&gt;"",I275,"")</f>
        <v>0</v>
      </c>
      <c r="D276" s="100">
        <f aca="true" t="shared" si="44" ref="D276:D339">IF(Pay_Num&lt;&gt;"",Scheduled_Monthly_Payment,"")</f>
        <v>119.26359149900578</v>
      </c>
      <c r="E276" s="101">
        <f t="shared" si="37"/>
        <v>0</v>
      </c>
      <c r="F276" s="100">
        <f t="shared" si="38"/>
        <v>0</v>
      </c>
      <c r="G276" s="100">
        <f t="shared" si="41"/>
        <v>0</v>
      </c>
      <c r="H276" s="100">
        <f t="shared" si="42"/>
        <v>0</v>
      </c>
      <c r="I276" s="100">
        <f t="shared" si="39"/>
        <v>0</v>
      </c>
      <c r="J276" s="93"/>
      <c r="K276" s="93"/>
    </row>
    <row r="277" spans="1:11" ht="12.75">
      <c r="A277" s="96">
        <f t="shared" si="40"/>
        <v>260</v>
      </c>
      <c r="B277" s="97">
        <f t="shared" si="36"/>
        <v>48092</v>
      </c>
      <c r="C277" s="100">
        <f t="shared" si="43"/>
        <v>0</v>
      </c>
      <c r="D277" s="100">
        <f t="shared" si="44"/>
        <v>119.26359149900578</v>
      </c>
      <c r="E277" s="101">
        <f t="shared" si="37"/>
        <v>0</v>
      </c>
      <c r="F277" s="100">
        <f t="shared" si="38"/>
        <v>0</v>
      </c>
      <c r="G277" s="100">
        <f t="shared" si="41"/>
        <v>0</v>
      </c>
      <c r="H277" s="100">
        <f t="shared" si="42"/>
        <v>0</v>
      </c>
      <c r="I277" s="100">
        <f t="shared" si="39"/>
        <v>0</v>
      </c>
      <c r="J277" s="93"/>
      <c r="K277" s="93"/>
    </row>
    <row r="278" spans="1:11" ht="12.75">
      <c r="A278" s="96">
        <f t="shared" si="40"/>
        <v>261</v>
      </c>
      <c r="B278" s="97">
        <f t="shared" si="36"/>
        <v>48122</v>
      </c>
      <c r="C278" s="100">
        <f t="shared" si="43"/>
        <v>0</v>
      </c>
      <c r="D278" s="100">
        <f t="shared" si="44"/>
        <v>119.26359149900578</v>
      </c>
      <c r="E278" s="101">
        <f t="shared" si="37"/>
        <v>0</v>
      </c>
      <c r="F278" s="100">
        <f t="shared" si="38"/>
        <v>0</v>
      </c>
      <c r="G278" s="100">
        <f t="shared" si="41"/>
        <v>0</v>
      </c>
      <c r="H278" s="100">
        <f t="shared" si="42"/>
        <v>0</v>
      </c>
      <c r="I278" s="100">
        <f t="shared" si="39"/>
        <v>0</v>
      </c>
      <c r="J278" s="93"/>
      <c r="K278" s="93"/>
    </row>
    <row r="279" spans="1:11" ht="12.75">
      <c r="A279" s="96">
        <f t="shared" si="40"/>
        <v>262</v>
      </c>
      <c r="B279" s="97">
        <f t="shared" si="36"/>
        <v>48153</v>
      </c>
      <c r="C279" s="100">
        <f t="shared" si="43"/>
        <v>0</v>
      </c>
      <c r="D279" s="100">
        <f t="shared" si="44"/>
        <v>119.26359149900578</v>
      </c>
      <c r="E279" s="101">
        <f t="shared" si="37"/>
        <v>0</v>
      </c>
      <c r="F279" s="100">
        <f t="shared" si="38"/>
        <v>0</v>
      </c>
      <c r="G279" s="100">
        <f t="shared" si="41"/>
        <v>0</v>
      </c>
      <c r="H279" s="100">
        <f t="shared" si="42"/>
        <v>0</v>
      </c>
      <c r="I279" s="100">
        <f t="shared" si="39"/>
        <v>0</v>
      </c>
      <c r="J279" s="93"/>
      <c r="K279" s="93"/>
    </row>
    <row r="280" spans="1:11" ht="12.75">
      <c r="A280" s="96">
        <f t="shared" si="40"/>
        <v>263</v>
      </c>
      <c r="B280" s="97">
        <f t="shared" si="36"/>
        <v>48183</v>
      </c>
      <c r="C280" s="100">
        <f t="shared" si="43"/>
        <v>0</v>
      </c>
      <c r="D280" s="100">
        <f t="shared" si="44"/>
        <v>119.26359149900578</v>
      </c>
      <c r="E280" s="101">
        <f t="shared" si="37"/>
        <v>0</v>
      </c>
      <c r="F280" s="100">
        <f t="shared" si="38"/>
        <v>0</v>
      </c>
      <c r="G280" s="100">
        <f t="shared" si="41"/>
        <v>0</v>
      </c>
      <c r="H280" s="100">
        <f t="shared" si="42"/>
        <v>0</v>
      </c>
      <c r="I280" s="100">
        <f t="shared" si="39"/>
        <v>0</v>
      </c>
      <c r="J280" s="93"/>
      <c r="K280" s="93"/>
    </row>
    <row r="281" spans="1:11" ht="12.75">
      <c r="A281" s="96">
        <f t="shared" si="40"/>
        <v>264</v>
      </c>
      <c r="B281" s="97">
        <f t="shared" si="36"/>
        <v>48214</v>
      </c>
      <c r="C281" s="100">
        <f t="shared" si="43"/>
        <v>0</v>
      </c>
      <c r="D281" s="100">
        <f t="shared" si="44"/>
        <v>119.26359149900578</v>
      </c>
      <c r="E281" s="101">
        <f t="shared" si="37"/>
        <v>0</v>
      </c>
      <c r="F281" s="100">
        <f t="shared" si="38"/>
        <v>0</v>
      </c>
      <c r="G281" s="100">
        <f t="shared" si="41"/>
        <v>0</v>
      </c>
      <c r="H281" s="100">
        <f t="shared" si="42"/>
        <v>0</v>
      </c>
      <c r="I281" s="100">
        <f t="shared" si="39"/>
        <v>0</v>
      </c>
      <c r="J281" s="93"/>
      <c r="K281" s="93"/>
    </row>
    <row r="282" spans="1:11" ht="12.75">
      <c r="A282" s="96">
        <f t="shared" si="40"/>
        <v>265</v>
      </c>
      <c r="B282" s="97">
        <f t="shared" si="36"/>
        <v>48245</v>
      </c>
      <c r="C282" s="100">
        <f t="shared" si="43"/>
        <v>0</v>
      </c>
      <c r="D282" s="100">
        <f t="shared" si="44"/>
        <v>119.26359149900578</v>
      </c>
      <c r="E282" s="101">
        <f t="shared" si="37"/>
        <v>0</v>
      </c>
      <c r="F282" s="100">
        <f t="shared" si="38"/>
        <v>0</v>
      </c>
      <c r="G282" s="100">
        <f t="shared" si="41"/>
        <v>0</v>
      </c>
      <c r="H282" s="100">
        <f t="shared" si="42"/>
        <v>0</v>
      </c>
      <c r="I282" s="100">
        <f t="shared" si="39"/>
        <v>0</v>
      </c>
      <c r="J282" s="93"/>
      <c r="K282" s="93"/>
    </row>
    <row r="283" spans="1:11" ht="12.75">
      <c r="A283" s="96">
        <f t="shared" si="40"/>
        <v>266</v>
      </c>
      <c r="B283" s="97">
        <f t="shared" si="36"/>
        <v>48274</v>
      </c>
      <c r="C283" s="100">
        <f t="shared" si="43"/>
        <v>0</v>
      </c>
      <c r="D283" s="100">
        <f t="shared" si="44"/>
        <v>119.26359149900578</v>
      </c>
      <c r="E283" s="101">
        <f t="shared" si="37"/>
        <v>0</v>
      </c>
      <c r="F283" s="100">
        <f t="shared" si="38"/>
        <v>0</v>
      </c>
      <c r="G283" s="100">
        <f t="shared" si="41"/>
        <v>0</v>
      </c>
      <c r="H283" s="100">
        <f t="shared" si="42"/>
        <v>0</v>
      </c>
      <c r="I283" s="100">
        <f t="shared" si="39"/>
        <v>0</v>
      </c>
      <c r="J283" s="93"/>
      <c r="K283" s="93"/>
    </row>
    <row r="284" spans="1:11" ht="12.75">
      <c r="A284" s="96">
        <f t="shared" si="40"/>
        <v>267</v>
      </c>
      <c r="B284" s="97">
        <f t="shared" si="36"/>
        <v>48305</v>
      </c>
      <c r="C284" s="100">
        <f t="shared" si="43"/>
        <v>0</v>
      </c>
      <c r="D284" s="100">
        <f t="shared" si="44"/>
        <v>119.26359149900578</v>
      </c>
      <c r="E284" s="101">
        <f t="shared" si="37"/>
        <v>0</v>
      </c>
      <c r="F284" s="100">
        <f t="shared" si="38"/>
        <v>0</v>
      </c>
      <c r="G284" s="100">
        <f t="shared" si="41"/>
        <v>0</v>
      </c>
      <c r="H284" s="100">
        <f t="shared" si="42"/>
        <v>0</v>
      </c>
      <c r="I284" s="100">
        <f t="shared" si="39"/>
        <v>0</v>
      </c>
      <c r="J284" s="93"/>
      <c r="K284" s="93"/>
    </row>
    <row r="285" spans="1:11" ht="12.75">
      <c r="A285" s="96">
        <f t="shared" si="40"/>
        <v>268</v>
      </c>
      <c r="B285" s="97">
        <f t="shared" si="36"/>
        <v>48335</v>
      </c>
      <c r="C285" s="100">
        <f t="shared" si="43"/>
        <v>0</v>
      </c>
      <c r="D285" s="100">
        <f t="shared" si="44"/>
        <v>119.26359149900578</v>
      </c>
      <c r="E285" s="101">
        <f t="shared" si="37"/>
        <v>0</v>
      </c>
      <c r="F285" s="100">
        <f t="shared" si="38"/>
        <v>0</v>
      </c>
      <c r="G285" s="100">
        <f t="shared" si="41"/>
        <v>0</v>
      </c>
      <c r="H285" s="100">
        <f t="shared" si="42"/>
        <v>0</v>
      </c>
      <c r="I285" s="100">
        <f t="shared" si="39"/>
        <v>0</v>
      </c>
      <c r="J285" s="93"/>
      <c r="K285" s="93"/>
    </row>
    <row r="286" spans="1:11" ht="12.75">
      <c r="A286" s="96">
        <f t="shared" si="40"/>
        <v>269</v>
      </c>
      <c r="B286" s="97">
        <f t="shared" si="36"/>
        <v>48366</v>
      </c>
      <c r="C286" s="100">
        <f t="shared" si="43"/>
        <v>0</v>
      </c>
      <c r="D286" s="100">
        <f t="shared" si="44"/>
        <v>119.26359149900578</v>
      </c>
      <c r="E286" s="101">
        <f t="shared" si="37"/>
        <v>0</v>
      </c>
      <c r="F286" s="100">
        <f t="shared" si="38"/>
        <v>0</v>
      </c>
      <c r="G286" s="100">
        <f t="shared" si="41"/>
        <v>0</v>
      </c>
      <c r="H286" s="100">
        <f t="shared" si="42"/>
        <v>0</v>
      </c>
      <c r="I286" s="100">
        <f t="shared" si="39"/>
        <v>0</v>
      </c>
      <c r="J286" s="93"/>
      <c r="K286" s="93"/>
    </row>
    <row r="287" spans="1:11" ht="12.75">
      <c r="A287" s="96">
        <f t="shared" si="40"/>
        <v>270</v>
      </c>
      <c r="B287" s="97">
        <f t="shared" si="36"/>
        <v>48396</v>
      </c>
      <c r="C287" s="100">
        <f t="shared" si="43"/>
        <v>0</v>
      </c>
      <c r="D287" s="100">
        <f t="shared" si="44"/>
        <v>119.26359149900578</v>
      </c>
      <c r="E287" s="101">
        <f t="shared" si="37"/>
        <v>0</v>
      </c>
      <c r="F287" s="100">
        <f t="shared" si="38"/>
        <v>0</v>
      </c>
      <c r="G287" s="100">
        <f t="shared" si="41"/>
        <v>0</v>
      </c>
      <c r="H287" s="100">
        <f t="shared" si="42"/>
        <v>0</v>
      </c>
      <c r="I287" s="100">
        <f t="shared" si="39"/>
        <v>0</v>
      </c>
      <c r="J287" s="93"/>
      <c r="K287" s="93"/>
    </row>
    <row r="288" spans="1:11" ht="12.75">
      <c r="A288" s="96">
        <f t="shared" si="40"/>
        <v>271</v>
      </c>
      <c r="B288" s="97">
        <f t="shared" si="36"/>
        <v>48427</v>
      </c>
      <c r="C288" s="100">
        <f t="shared" si="43"/>
        <v>0</v>
      </c>
      <c r="D288" s="100">
        <f t="shared" si="44"/>
        <v>119.26359149900578</v>
      </c>
      <c r="E288" s="101">
        <f t="shared" si="37"/>
        <v>0</v>
      </c>
      <c r="F288" s="100">
        <f t="shared" si="38"/>
        <v>0</v>
      </c>
      <c r="G288" s="100">
        <f t="shared" si="41"/>
        <v>0</v>
      </c>
      <c r="H288" s="100">
        <f t="shared" si="42"/>
        <v>0</v>
      </c>
      <c r="I288" s="100">
        <f t="shared" si="39"/>
        <v>0</v>
      </c>
      <c r="J288" s="93"/>
      <c r="K288" s="93"/>
    </row>
    <row r="289" spans="1:11" ht="12.75">
      <c r="A289" s="96">
        <f t="shared" si="40"/>
        <v>272</v>
      </c>
      <c r="B289" s="97">
        <f t="shared" si="36"/>
        <v>48458</v>
      </c>
      <c r="C289" s="100">
        <f t="shared" si="43"/>
        <v>0</v>
      </c>
      <c r="D289" s="100">
        <f t="shared" si="44"/>
        <v>119.26359149900578</v>
      </c>
      <c r="E289" s="101">
        <f t="shared" si="37"/>
        <v>0</v>
      </c>
      <c r="F289" s="100">
        <f t="shared" si="38"/>
        <v>0</v>
      </c>
      <c r="G289" s="100">
        <f t="shared" si="41"/>
        <v>0</v>
      </c>
      <c r="H289" s="100">
        <f t="shared" si="42"/>
        <v>0</v>
      </c>
      <c r="I289" s="100">
        <f t="shared" si="39"/>
        <v>0</v>
      </c>
      <c r="J289" s="93"/>
      <c r="K289" s="93"/>
    </row>
    <row r="290" spans="1:11" ht="12.75">
      <c r="A290" s="96">
        <f t="shared" si="40"/>
        <v>273</v>
      </c>
      <c r="B290" s="97">
        <f t="shared" si="36"/>
        <v>48488</v>
      </c>
      <c r="C290" s="100">
        <f t="shared" si="43"/>
        <v>0</v>
      </c>
      <c r="D290" s="100">
        <f t="shared" si="44"/>
        <v>119.26359149900578</v>
      </c>
      <c r="E290" s="101">
        <f t="shared" si="37"/>
        <v>0</v>
      </c>
      <c r="F290" s="100">
        <f t="shared" si="38"/>
        <v>0</v>
      </c>
      <c r="G290" s="100">
        <f t="shared" si="41"/>
        <v>0</v>
      </c>
      <c r="H290" s="100">
        <f t="shared" si="42"/>
        <v>0</v>
      </c>
      <c r="I290" s="100">
        <f t="shared" si="39"/>
        <v>0</v>
      </c>
      <c r="J290" s="93"/>
      <c r="K290" s="93"/>
    </row>
    <row r="291" spans="1:11" ht="12.75">
      <c r="A291" s="96">
        <f t="shared" si="40"/>
        <v>274</v>
      </c>
      <c r="B291" s="97">
        <f t="shared" si="36"/>
        <v>48519</v>
      </c>
      <c r="C291" s="100">
        <f t="shared" si="43"/>
        <v>0</v>
      </c>
      <c r="D291" s="100">
        <f t="shared" si="44"/>
        <v>119.26359149900578</v>
      </c>
      <c r="E291" s="101">
        <f t="shared" si="37"/>
        <v>0</v>
      </c>
      <c r="F291" s="100">
        <f t="shared" si="38"/>
        <v>0</v>
      </c>
      <c r="G291" s="100">
        <f t="shared" si="41"/>
        <v>0</v>
      </c>
      <c r="H291" s="100">
        <f t="shared" si="42"/>
        <v>0</v>
      </c>
      <c r="I291" s="100">
        <f t="shared" si="39"/>
        <v>0</v>
      </c>
      <c r="J291" s="93"/>
      <c r="K291" s="93"/>
    </row>
    <row r="292" spans="1:11" ht="12.75">
      <c r="A292" s="96">
        <f t="shared" si="40"/>
        <v>275</v>
      </c>
      <c r="B292" s="97">
        <f t="shared" si="36"/>
        <v>48549</v>
      </c>
      <c r="C292" s="100">
        <f t="shared" si="43"/>
        <v>0</v>
      </c>
      <c r="D292" s="100">
        <f t="shared" si="44"/>
        <v>119.26359149900578</v>
      </c>
      <c r="E292" s="101">
        <f t="shared" si="37"/>
        <v>0</v>
      </c>
      <c r="F292" s="100">
        <f t="shared" si="38"/>
        <v>0</v>
      </c>
      <c r="G292" s="100">
        <f t="shared" si="41"/>
        <v>0</v>
      </c>
      <c r="H292" s="100">
        <f t="shared" si="42"/>
        <v>0</v>
      </c>
      <c r="I292" s="100">
        <f t="shared" si="39"/>
        <v>0</v>
      </c>
      <c r="J292" s="93"/>
      <c r="K292" s="93"/>
    </row>
    <row r="293" spans="1:11" ht="12.75">
      <c r="A293" s="96">
        <f t="shared" si="40"/>
        <v>276</v>
      </c>
      <c r="B293" s="97">
        <f t="shared" si="36"/>
        <v>48580</v>
      </c>
      <c r="C293" s="100">
        <f t="shared" si="43"/>
        <v>0</v>
      </c>
      <c r="D293" s="100">
        <f t="shared" si="44"/>
        <v>119.26359149900578</v>
      </c>
      <c r="E293" s="101">
        <f t="shared" si="37"/>
        <v>0</v>
      </c>
      <c r="F293" s="100">
        <f t="shared" si="38"/>
        <v>0</v>
      </c>
      <c r="G293" s="100">
        <f t="shared" si="41"/>
        <v>0</v>
      </c>
      <c r="H293" s="100">
        <f t="shared" si="42"/>
        <v>0</v>
      </c>
      <c r="I293" s="100">
        <f t="shared" si="39"/>
        <v>0</v>
      </c>
      <c r="J293" s="93"/>
      <c r="K293" s="93"/>
    </row>
    <row r="294" spans="1:11" ht="12.75">
      <c r="A294" s="96">
        <f t="shared" si="40"/>
        <v>277</v>
      </c>
      <c r="B294" s="97">
        <f t="shared" si="36"/>
        <v>48611</v>
      </c>
      <c r="C294" s="100">
        <f t="shared" si="43"/>
        <v>0</v>
      </c>
      <c r="D294" s="100">
        <f t="shared" si="44"/>
        <v>119.26359149900578</v>
      </c>
      <c r="E294" s="101">
        <f t="shared" si="37"/>
        <v>0</v>
      </c>
      <c r="F294" s="100">
        <f t="shared" si="38"/>
        <v>0</v>
      </c>
      <c r="G294" s="100">
        <f t="shared" si="41"/>
        <v>0</v>
      </c>
      <c r="H294" s="100">
        <f t="shared" si="42"/>
        <v>0</v>
      </c>
      <c r="I294" s="100">
        <f t="shared" si="39"/>
        <v>0</v>
      </c>
      <c r="J294" s="93"/>
      <c r="K294" s="93"/>
    </row>
    <row r="295" spans="1:11" ht="12.75">
      <c r="A295" s="96">
        <f t="shared" si="40"/>
        <v>278</v>
      </c>
      <c r="B295" s="97">
        <f t="shared" si="36"/>
        <v>48639</v>
      </c>
      <c r="C295" s="100">
        <f t="shared" si="43"/>
        <v>0</v>
      </c>
      <c r="D295" s="100">
        <f t="shared" si="44"/>
        <v>119.26359149900578</v>
      </c>
      <c r="E295" s="101">
        <f t="shared" si="37"/>
        <v>0</v>
      </c>
      <c r="F295" s="100">
        <f t="shared" si="38"/>
        <v>0</v>
      </c>
      <c r="G295" s="100">
        <f t="shared" si="41"/>
        <v>0</v>
      </c>
      <c r="H295" s="100">
        <f t="shared" si="42"/>
        <v>0</v>
      </c>
      <c r="I295" s="100">
        <f t="shared" si="39"/>
        <v>0</v>
      </c>
      <c r="J295" s="93"/>
      <c r="K295" s="93"/>
    </row>
    <row r="296" spans="1:11" ht="12.75">
      <c r="A296" s="96">
        <f t="shared" si="40"/>
        <v>279</v>
      </c>
      <c r="B296" s="97">
        <f t="shared" si="36"/>
        <v>48670</v>
      </c>
      <c r="C296" s="100">
        <f t="shared" si="43"/>
        <v>0</v>
      </c>
      <c r="D296" s="100">
        <f t="shared" si="44"/>
        <v>119.26359149900578</v>
      </c>
      <c r="E296" s="101">
        <f t="shared" si="37"/>
        <v>0</v>
      </c>
      <c r="F296" s="100">
        <f t="shared" si="38"/>
        <v>0</v>
      </c>
      <c r="G296" s="100">
        <f t="shared" si="41"/>
        <v>0</v>
      </c>
      <c r="H296" s="100">
        <f t="shared" si="42"/>
        <v>0</v>
      </c>
      <c r="I296" s="100">
        <f t="shared" si="39"/>
        <v>0</v>
      </c>
      <c r="J296" s="93"/>
      <c r="K296" s="93"/>
    </row>
    <row r="297" spans="1:11" ht="12.75">
      <c r="A297" s="96">
        <f t="shared" si="40"/>
        <v>280</v>
      </c>
      <c r="B297" s="97">
        <f t="shared" si="36"/>
        <v>48700</v>
      </c>
      <c r="C297" s="100">
        <f t="shared" si="43"/>
        <v>0</v>
      </c>
      <c r="D297" s="100">
        <f t="shared" si="44"/>
        <v>119.26359149900578</v>
      </c>
      <c r="E297" s="101">
        <f t="shared" si="37"/>
        <v>0</v>
      </c>
      <c r="F297" s="100">
        <f t="shared" si="38"/>
        <v>0</v>
      </c>
      <c r="G297" s="100">
        <f t="shared" si="41"/>
        <v>0</v>
      </c>
      <c r="H297" s="100">
        <f t="shared" si="42"/>
        <v>0</v>
      </c>
      <c r="I297" s="100">
        <f t="shared" si="39"/>
        <v>0</v>
      </c>
      <c r="J297" s="93"/>
      <c r="K297" s="93"/>
    </row>
    <row r="298" spans="1:11" ht="12.75">
      <c r="A298" s="96">
        <f t="shared" si="40"/>
        <v>281</v>
      </c>
      <c r="B298" s="97">
        <f t="shared" si="36"/>
        <v>48731</v>
      </c>
      <c r="C298" s="100">
        <f t="shared" si="43"/>
        <v>0</v>
      </c>
      <c r="D298" s="100">
        <f t="shared" si="44"/>
        <v>119.26359149900578</v>
      </c>
      <c r="E298" s="101">
        <f t="shared" si="37"/>
        <v>0</v>
      </c>
      <c r="F298" s="100">
        <f t="shared" si="38"/>
        <v>0</v>
      </c>
      <c r="G298" s="100">
        <f t="shared" si="41"/>
        <v>0</v>
      </c>
      <c r="H298" s="100">
        <f t="shared" si="42"/>
        <v>0</v>
      </c>
      <c r="I298" s="100">
        <f t="shared" si="39"/>
        <v>0</v>
      </c>
      <c r="J298" s="93"/>
      <c r="K298" s="93"/>
    </row>
    <row r="299" spans="1:11" ht="12.75">
      <c r="A299" s="96">
        <f t="shared" si="40"/>
        <v>282</v>
      </c>
      <c r="B299" s="97">
        <f t="shared" si="36"/>
        <v>48761</v>
      </c>
      <c r="C299" s="100">
        <f t="shared" si="43"/>
        <v>0</v>
      </c>
      <c r="D299" s="100">
        <f t="shared" si="44"/>
        <v>119.26359149900578</v>
      </c>
      <c r="E299" s="101">
        <f t="shared" si="37"/>
        <v>0</v>
      </c>
      <c r="F299" s="100">
        <f t="shared" si="38"/>
        <v>0</v>
      </c>
      <c r="G299" s="100">
        <f t="shared" si="41"/>
        <v>0</v>
      </c>
      <c r="H299" s="100">
        <f t="shared" si="42"/>
        <v>0</v>
      </c>
      <c r="I299" s="100">
        <f t="shared" si="39"/>
        <v>0</v>
      </c>
      <c r="J299" s="93"/>
      <c r="K299" s="93"/>
    </row>
    <row r="300" spans="1:11" ht="12.75">
      <c r="A300" s="96">
        <f t="shared" si="40"/>
        <v>283</v>
      </c>
      <c r="B300" s="97">
        <f t="shared" si="36"/>
        <v>48792</v>
      </c>
      <c r="C300" s="100">
        <f t="shared" si="43"/>
        <v>0</v>
      </c>
      <c r="D300" s="100">
        <f t="shared" si="44"/>
        <v>119.26359149900578</v>
      </c>
      <c r="E300" s="101">
        <f t="shared" si="37"/>
        <v>0</v>
      </c>
      <c r="F300" s="100">
        <f t="shared" si="38"/>
        <v>0</v>
      </c>
      <c r="G300" s="100">
        <f t="shared" si="41"/>
        <v>0</v>
      </c>
      <c r="H300" s="100">
        <f t="shared" si="42"/>
        <v>0</v>
      </c>
      <c r="I300" s="100">
        <f t="shared" si="39"/>
        <v>0</v>
      </c>
      <c r="J300" s="93"/>
      <c r="K300" s="93"/>
    </row>
    <row r="301" spans="1:11" ht="12.75">
      <c r="A301" s="96">
        <f t="shared" si="40"/>
        <v>284</v>
      </c>
      <c r="B301" s="97">
        <f t="shared" si="36"/>
        <v>48823</v>
      </c>
      <c r="C301" s="100">
        <f t="shared" si="43"/>
        <v>0</v>
      </c>
      <c r="D301" s="100">
        <f t="shared" si="44"/>
        <v>119.26359149900578</v>
      </c>
      <c r="E301" s="101">
        <f t="shared" si="37"/>
        <v>0</v>
      </c>
      <c r="F301" s="100">
        <f t="shared" si="38"/>
        <v>0</v>
      </c>
      <c r="G301" s="100">
        <f t="shared" si="41"/>
        <v>0</v>
      </c>
      <c r="H301" s="100">
        <f t="shared" si="42"/>
        <v>0</v>
      </c>
      <c r="I301" s="100">
        <f t="shared" si="39"/>
        <v>0</v>
      </c>
      <c r="J301" s="93"/>
      <c r="K301" s="93"/>
    </row>
    <row r="302" spans="1:11" ht="12.75">
      <c r="A302" s="96">
        <f t="shared" si="40"/>
        <v>285</v>
      </c>
      <c r="B302" s="97">
        <f t="shared" si="36"/>
        <v>48853</v>
      </c>
      <c r="C302" s="100">
        <f t="shared" si="43"/>
        <v>0</v>
      </c>
      <c r="D302" s="100">
        <f t="shared" si="44"/>
        <v>119.26359149900578</v>
      </c>
      <c r="E302" s="101">
        <f t="shared" si="37"/>
        <v>0</v>
      </c>
      <c r="F302" s="100">
        <f t="shared" si="38"/>
        <v>0</v>
      </c>
      <c r="G302" s="100">
        <f t="shared" si="41"/>
        <v>0</v>
      </c>
      <c r="H302" s="100">
        <f t="shared" si="42"/>
        <v>0</v>
      </c>
      <c r="I302" s="100">
        <f t="shared" si="39"/>
        <v>0</v>
      </c>
      <c r="J302" s="93"/>
      <c r="K302" s="93"/>
    </row>
    <row r="303" spans="1:11" ht="12.75">
      <c r="A303" s="96">
        <f t="shared" si="40"/>
        <v>286</v>
      </c>
      <c r="B303" s="97">
        <f t="shared" si="36"/>
        <v>48884</v>
      </c>
      <c r="C303" s="100">
        <f t="shared" si="43"/>
        <v>0</v>
      </c>
      <c r="D303" s="100">
        <f t="shared" si="44"/>
        <v>119.26359149900578</v>
      </c>
      <c r="E303" s="101">
        <f t="shared" si="37"/>
        <v>0</v>
      </c>
      <c r="F303" s="100">
        <f t="shared" si="38"/>
        <v>0</v>
      </c>
      <c r="G303" s="100">
        <f t="shared" si="41"/>
        <v>0</v>
      </c>
      <c r="H303" s="100">
        <f t="shared" si="42"/>
        <v>0</v>
      </c>
      <c r="I303" s="100">
        <f t="shared" si="39"/>
        <v>0</v>
      </c>
      <c r="J303" s="93"/>
      <c r="K303" s="93"/>
    </row>
    <row r="304" spans="1:11" ht="12.75">
      <c r="A304" s="96">
        <f t="shared" si="40"/>
        <v>287</v>
      </c>
      <c r="B304" s="97">
        <f t="shared" si="36"/>
        <v>48914</v>
      </c>
      <c r="C304" s="100">
        <f t="shared" si="43"/>
        <v>0</v>
      </c>
      <c r="D304" s="100">
        <f t="shared" si="44"/>
        <v>119.26359149900578</v>
      </c>
      <c r="E304" s="101">
        <f t="shared" si="37"/>
        <v>0</v>
      </c>
      <c r="F304" s="100">
        <f t="shared" si="38"/>
        <v>0</v>
      </c>
      <c r="G304" s="100">
        <f t="shared" si="41"/>
        <v>0</v>
      </c>
      <c r="H304" s="100">
        <f t="shared" si="42"/>
        <v>0</v>
      </c>
      <c r="I304" s="100">
        <f t="shared" si="39"/>
        <v>0</v>
      </c>
      <c r="J304" s="93"/>
      <c r="K304" s="93"/>
    </row>
    <row r="305" spans="1:11" ht="12.75">
      <c r="A305" s="96">
        <f t="shared" si="40"/>
        <v>288</v>
      </c>
      <c r="B305" s="97">
        <f t="shared" si="36"/>
        <v>48945</v>
      </c>
      <c r="C305" s="100">
        <f t="shared" si="43"/>
        <v>0</v>
      </c>
      <c r="D305" s="100">
        <f t="shared" si="44"/>
        <v>119.26359149900578</v>
      </c>
      <c r="E305" s="101">
        <f t="shared" si="37"/>
        <v>0</v>
      </c>
      <c r="F305" s="100">
        <f t="shared" si="38"/>
        <v>0</v>
      </c>
      <c r="G305" s="100">
        <f t="shared" si="41"/>
        <v>0</v>
      </c>
      <c r="H305" s="100">
        <f t="shared" si="42"/>
        <v>0</v>
      </c>
      <c r="I305" s="100">
        <f t="shared" si="39"/>
        <v>0</v>
      </c>
      <c r="J305" s="93"/>
      <c r="K305" s="93"/>
    </row>
    <row r="306" spans="1:11" ht="12.75">
      <c r="A306" s="96">
        <f t="shared" si="40"/>
        <v>289</v>
      </c>
      <c r="B306" s="97">
        <f t="shared" si="36"/>
        <v>48976</v>
      </c>
      <c r="C306" s="100">
        <f t="shared" si="43"/>
        <v>0</v>
      </c>
      <c r="D306" s="100">
        <f t="shared" si="44"/>
        <v>119.26359149900578</v>
      </c>
      <c r="E306" s="101">
        <f t="shared" si="37"/>
        <v>0</v>
      </c>
      <c r="F306" s="100">
        <f t="shared" si="38"/>
        <v>0</v>
      </c>
      <c r="G306" s="100">
        <f t="shared" si="41"/>
        <v>0</v>
      </c>
      <c r="H306" s="100">
        <f t="shared" si="42"/>
        <v>0</v>
      </c>
      <c r="I306" s="100">
        <f t="shared" si="39"/>
        <v>0</v>
      </c>
      <c r="J306" s="93"/>
      <c r="K306" s="93"/>
    </row>
    <row r="307" spans="1:11" ht="12.75">
      <c r="A307" s="96">
        <f t="shared" si="40"/>
        <v>290</v>
      </c>
      <c r="B307" s="97">
        <f t="shared" si="36"/>
        <v>49004</v>
      </c>
      <c r="C307" s="100">
        <f t="shared" si="43"/>
        <v>0</v>
      </c>
      <c r="D307" s="100">
        <f t="shared" si="44"/>
        <v>119.26359149900578</v>
      </c>
      <c r="E307" s="101">
        <f t="shared" si="37"/>
        <v>0</v>
      </c>
      <c r="F307" s="100">
        <f t="shared" si="38"/>
        <v>0</v>
      </c>
      <c r="G307" s="100">
        <f t="shared" si="41"/>
        <v>0</v>
      </c>
      <c r="H307" s="100">
        <f t="shared" si="42"/>
        <v>0</v>
      </c>
      <c r="I307" s="100">
        <f t="shared" si="39"/>
        <v>0</v>
      </c>
      <c r="J307" s="93"/>
      <c r="K307" s="93"/>
    </row>
    <row r="308" spans="1:11" ht="12.75">
      <c r="A308" s="96">
        <f t="shared" si="40"/>
        <v>291</v>
      </c>
      <c r="B308" s="97">
        <f t="shared" si="36"/>
        <v>49035</v>
      </c>
      <c r="C308" s="100">
        <f t="shared" si="43"/>
        <v>0</v>
      </c>
      <c r="D308" s="100">
        <f t="shared" si="44"/>
        <v>119.26359149900578</v>
      </c>
      <c r="E308" s="101">
        <f t="shared" si="37"/>
        <v>0</v>
      </c>
      <c r="F308" s="100">
        <f t="shared" si="38"/>
        <v>0</v>
      </c>
      <c r="G308" s="100">
        <f t="shared" si="41"/>
        <v>0</v>
      </c>
      <c r="H308" s="100">
        <f t="shared" si="42"/>
        <v>0</v>
      </c>
      <c r="I308" s="100">
        <f t="shared" si="39"/>
        <v>0</v>
      </c>
      <c r="J308" s="93"/>
      <c r="K308" s="93"/>
    </row>
    <row r="309" spans="1:11" ht="12.75">
      <c r="A309" s="96">
        <f t="shared" si="40"/>
        <v>292</v>
      </c>
      <c r="B309" s="97">
        <f t="shared" si="36"/>
        <v>49065</v>
      </c>
      <c r="C309" s="100">
        <f t="shared" si="43"/>
        <v>0</v>
      </c>
      <c r="D309" s="100">
        <f t="shared" si="44"/>
        <v>119.26359149900578</v>
      </c>
      <c r="E309" s="101">
        <f t="shared" si="37"/>
        <v>0</v>
      </c>
      <c r="F309" s="100">
        <f t="shared" si="38"/>
        <v>0</v>
      </c>
      <c r="G309" s="100">
        <f t="shared" si="41"/>
        <v>0</v>
      </c>
      <c r="H309" s="100">
        <f t="shared" si="42"/>
        <v>0</v>
      </c>
      <c r="I309" s="100">
        <f t="shared" si="39"/>
        <v>0</v>
      </c>
      <c r="J309" s="93"/>
      <c r="K309" s="93"/>
    </row>
    <row r="310" spans="1:11" ht="12.75">
      <c r="A310" s="96">
        <f t="shared" si="40"/>
        <v>293</v>
      </c>
      <c r="B310" s="97">
        <f t="shared" si="36"/>
        <v>49096</v>
      </c>
      <c r="C310" s="100">
        <f t="shared" si="43"/>
        <v>0</v>
      </c>
      <c r="D310" s="100">
        <f t="shared" si="44"/>
        <v>119.26359149900578</v>
      </c>
      <c r="E310" s="101">
        <f t="shared" si="37"/>
        <v>0</v>
      </c>
      <c r="F310" s="100">
        <f t="shared" si="38"/>
        <v>0</v>
      </c>
      <c r="G310" s="100">
        <f t="shared" si="41"/>
        <v>0</v>
      </c>
      <c r="H310" s="100">
        <f t="shared" si="42"/>
        <v>0</v>
      </c>
      <c r="I310" s="100">
        <f t="shared" si="39"/>
        <v>0</v>
      </c>
      <c r="J310" s="93"/>
      <c r="K310" s="93"/>
    </row>
    <row r="311" spans="1:11" ht="12.75">
      <c r="A311" s="96">
        <f t="shared" si="40"/>
        <v>294</v>
      </c>
      <c r="B311" s="97">
        <f t="shared" si="36"/>
        <v>49126</v>
      </c>
      <c r="C311" s="100">
        <f t="shared" si="43"/>
        <v>0</v>
      </c>
      <c r="D311" s="100">
        <f t="shared" si="44"/>
        <v>119.26359149900578</v>
      </c>
      <c r="E311" s="101">
        <f t="shared" si="37"/>
        <v>0</v>
      </c>
      <c r="F311" s="100">
        <f t="shared" si="38"/>
        <v>0</v>
      </c>
      <c r="G311" s="100">
        <f t="shared" si="41"/>
        <v>0</v>
      </c>
      <c r="H311" s="100">
        <f t="shared" si="42"/>
        <v>0</v>
      </c>
      <c r="I311" s="100">
        <f t="shared" si="39"/>
        <v>0</v>
      </c>
      <c r="J311" s="93"/>
      <c r="K311" s="93"/>
    </row>
    <row r="312" spans="1:11" ht="12.75">
      <c r="A312" s="96">
        <f t="shared" si="40"/>
        <v>295</v>
      </c>
      <c r="B312" s="97">
        <f t="shared" si="36"/>
        <v>49157</v>
      </c>
      <c r="C312" s="100">
        <f t="shared" si="43"/>
        <v>0</v>
      </c>
      <c r="D312" s="100">
        <f t="shared" si="44"/>
        <v>119.26359149900578</v>
      </c>
      <c r="E312" s="101">
        <f t="shared" si="37"/>
        <v>0</v>
      </c>
      <c r="F312" s="100">
        <f t="shared" si="38"/>
        <v>0</v>
      </c>
      <c r="G312" s="100">
        <f t="shared" si="41"/>
        <v>0</v>
      </c>
      <c r="H312" s="100">
        <f t="shared" si="42"/>
        <v>0</v>
      </c>
      <c r="I312" s="100">
        <f t="shared" si="39"/>
        <v>0</v>
      </c>
      <c r="J312" s="93"/>
      <c r="K312" s="93"/>
    </row>
    <row r="313" spans="1:11" ht="12.75">
      <c r="A313" s="96">
        <f t="shared" si="40"/>
        <v>296</v>
      </c>
      <c r="B313" s="97">
        <f t="shared" si="36"/>
        <v>49188</v>
      </c>
      <c r="C313" s="100">
        <f t="shared" si="43"/>
        <v>0</v>
      </c>
      <c r="D313" s="100">
        <f t="shared" si="44"/>
        <v>119.26359149900578</v>
      </c>
      <c r="E313" s="101">
        <f t="shared" si="37"/>
        <v>0</v>
      </c>
      <c r="F313" s="100">
        <f t="shared" si="38"/>
        <v>0</v>
      </c>
      <c r="G313" s="100">
        <f t="shared" si="41"/>
        <v>0</v>
      </c>
      <c r="H313" s="100">
        <f t="shared" si="42"/>
        <v>0</v>
      </c>
      <c r="I313" s="100">
        <f t="shared" si="39"/>
        <v>0</v>
      </c>
      <c r="J313" s="93"/>
      <c r="K313" s="93"/>
    </row>
    <row r="314" spans="1:11" ht="12.75">
      <c r="A314" s="96">
        <f t="shared" si="40"/>
        <v>297</v>
      </c>
      <c r="B314" s="97">
        <f t="shared" si="36"/>
        <v>49218</v>
      </c>
      <c r="C314" s="100">
        <f t="shared" si="43"/>
        <v>0</v>
      </c>
      <c r="D314" s="100">
        <f t="shared" si="44"/>
        <v>119.26359149900578</v>
      </c>
      <c r="E314" s="101">
        <f t="shared" si="37"/>
        <v>0</v>
      </c>
      <c r="F314" s="100">
        <f t="shared" si="38"/>
        <v>0</v>
      </c>
      <c r="G314" s="100">
        <f t="shared" si="41"/>
        <v>0</v>
      </c>
      <c r="H314" s="100">
        <f t="shared" si="42"/>
        <v>0</v>
      </c>
      <c r="I314" s="100">
        <f t="shared" si="39"/>
        <v>0</v>
      </c>
      <c r="J314" s="93"/>
      <c r="K314" s="93"/>
    </row>
    <row r="315" spans="1:11" ht="12.75">
      <c r="A315" s="96">
        <f t="shared" si="40"/>
        <v>298</v>
      </c>
      <c r="B315" s="97">
        <f t="shared" si="36"/>
        <v>49249</v>
      </c>
      <c r="C315" s="100">
        <f t="shared" si="43"/>
        <v>0</v>
      </c>
      <c r="D315" s="100">
        <f t="shared" si="44"/>
        <v>119.26359149900578</v>
      </c>
      <c r="E315" s="101">
        <f t="shared" si="37"/>
        <v>0</v>
      </c>
      <c r="F315" s="100">
        <f t="shared" si="38"/>
        <v>0</v>
      </c>
      <c r="G315" s="100">
        <f t="shared" si="41"/>
        <v>0</v>
      </c>
      <c r="H315" s="100">
        <f t="shared" si="42"/>
        <v>0</v>
      </c>
      <c r="I315" s="100">
        <f t="shared" si="39"/>
        <v>0</v>
      </c>
      <c r="J315" s="93"/>
      <c r="K315" s="93"/>
    </row>
    <row r="316" spans="1:11" ht="12.75">
      <c r="A316" s="96">
        <f t="shared" si="40"/>
        <v>299</v>
      </c>
      <c r="B316" s="97">
        <f t="shared" si="36"/>
        <v>49279</v>
      </c>
      <c r="C316" s="100">
        <f t="shared" si="43"/>
        <v>0</v>
      </c>
      <c r="D316" s="100">
        <f t="shared" si="44"/>
        <v>119.26359149900578</v>
      </c>
      <c r="E316" s="101">
        <f t="shared" si="37"/>
        <v>0</v>
      </c>
      <c r="F316" s="100">
        <f t="shared" si="38"/>
        <v>0</v>
      </c>
      <c r="G316" s="100">
        <f t="shared" si="41"/>
        <v>0</v>
      </c>
      <c r="H316" s="100">
        <f t="shared" si="42"/>
        <v>0</v>
      </c>
      <c r="I316" s="100">
        <f t="shared" si="39"/>
        <v>0</v>
      </c>
      <c r="J316" s="93"/>
      <c r="K316" s="93"/>
    </row>
    <row r="317" spans="1:11" ht="12.75">
      <c r="A317" s="96">
        <f t="shared" si="40"/>
        <v>300</v>
      </c>
      <c r="B317" s="97">
        <f t="shared" si="36"/>
        <v>49310</v>
      </c>
      <c r="C317" s="100">
        <f t="shared" si="43"/>
        <v>0</v>
      </c>
      <c r="D317" s="100">
        <f t="shared" si="44"/>
        <v>119.26359149900578</v>
      </c>
      <c r="E317" s="101">
        <f t="shared" si="37"/>
        <v>0</v>
      </c>
      <c r="F317" s="100">
        <f t="shared" si="38"/>
        <v>0</v>
      </c>
      <c r="G317" s="100">
        <f t="shared" si="41"/>
        <v>0</v>
      </c>
      <c r="H317" s="100">
        <f t="shared" si="42"/>
        <v>0</v>
      </c>
      <c r="I317" s="100">
        <f t="shared" si="39"/>
        <v>0</v>
      </c>
      <c r="J317" s="93"/>
      <c r="K317" s="93"/>
    </row>
    <row r="318" spans="1:11" ht="12.75">
      <c r="A318" s="96">
        <f t="shared" si="40"/>
        <v>301</v>
      </c>
      <c r="B318" s="97">
        <f t="shared" si="36"/>
        <v>49341</v>
      </c>
      <c r="C318" s="100">
        <f t="shared" si="43"/>
        <v>0</v>
      </c>
      <c r="D318" s="100">
        <f t="shared" si="44"/>
        <v>119.26359149900578</v>
      </c>
      <c r="E318" s="101">
        <f t="shared" si="37"/>
        <v>0</v>
      </c>
      <c r="F318" s="100">
        <f t="shared" si="38"/>
        <v>0</v>
      </c>
      <c r="G318" s="100">
        <f t="shared" si="41"/>
        <v>0</v>
      </c>
      <c r="H318" s="100">
        <f t="shared" si="42"/>
        <v>0</v>
      </c>
      <c r="I318" s="100">
        <f t="shared" si="39"/>
        <v>0</v>
      </c>
      <c r="J318" s="93"/>
      <c r="K318" s="93"/>
    </row>
    <row r="319" spans="1:11" ht="12.75">
      <c r="A319" s="96">
        <f t="shared" si="40"/>
        <v>302</v>
      </c>
      <c r="B319" s="97">
        <f t="shared" si="36"/>
        <v>49369</v>
      </c>
      <c r="C319" s="100">
        <f t="shared" si="43"/>
        <v>0</v>
      </c>
      <c r="D319" s="100">
        <f t="shared" si="44"/>
        <v>119.26359149900578</v>
      </c>
      <c r="E319" s="101">
        <f t="shared" si="37"/>
        <v>0</v>
      </c>
      <c r="F319" s="100">
        <f t="shared" si="38"/>
        <v>0</v>
      </c>
      <c r="G319" s="100">
        <f t="shared" si="41"/>
        <v>0</v>
      </c>
      <c r="H319" s="100">
        <f t="shared" si="42"/>
        <v>0</v>
      </c>
      <c r="I319" s="100">
        <f t="shared" si="39"/>
        <v>0</v>
      </c>
      <c r="J319" s="93"/>
      <c r="K319" s="93"/>
    </row>
    <row r="320" spans="1:11" ht="12.75">
      <c r="A320" s="96">
        <f t="shared" si="40"/>
        <v>303</v>
      </c>
      <c r="B320" s="97">
        <f t="shared" si="36"/>
        <v>49400</v>
      </c>
      <c r="C320" s="100">
        <f t="shared" si="43"/>
        <v>0</v>
      </c>
      <c r="D320" s="100">
        <f t="shared" si="44"/>
        <v>119.26359149900578</v>
      </c>
      <c r="E320" s="101">
        <f t="shared" si="37"/>
        <v>0</v>
      </c>
      <c r="F320" s="100">
        <f t="shared" si="38"/>
        <v>0</v>
      </c>
      <c r="G320" s="100">
        <f t="shared" si="41"/>
        <v>0</v>
      </c>
      <c r="H320" s="100">
        <f t="shared" si="42"/>
        <v>0</v>
      </c>
      <c r="I320" s="100">
        <f t="shared" si="39"/>
        <v>0</v>
      </c>
      <c r="J320" s="93"/>
      <c r="K320" s="93"/>
    </row>
    <row r="321" spans="1:11" ht="12.75">
      <c r="A321" s="96">
        <f t="shared" si="40"/>
        <v>304</v>
      </c>
      <c r="B321" s="97">
        <f t="shared" si="36"/>
        <v>49430</v>
      </c>
      <c r="C321" s="100">
        <f t="shared" si="43"/>
        <v>0</v>
      </c>
      <c r="D321" s="100">
        <f t="shared" si="44"/>
        <v>119.26359149900578</v>
      </c>
      <c r="E321" s="101">
        <f t="shared" si="37"/>
        <v>0</v>
      </c>
      <c r="F321" s="100">
        <f t="shared" si="38"/>
        <v>0</v>
      </c>
      <c r="G321" s="100">
        <f t="shared" si="41"/>
        <v>0</v>
      </c>
      <c r="H321" s="100">
        <f t="shared" si="42"/>
        <v>0</v>
      </c>
      <c r="I321" s="100">
        <f t="shared" si="39"/>
        <v>0</v>
      </c>
      <c r="J321" s="93"/>
      <c r="K321" s="93"/>
    </row>
    <row r="322" spans="1:11" ht="12.75">
      <c r="A322" s="96">
        <f t="shared" si="40"/>
        <v>305</v>
      </c>
      <c r="B322" s="97">
        <f t="shared" si="36"/>
        <v>49461</v>
      </c>
      <c r="C322" s="100">
        <f t="shared" si="43"/>
        <v>0</v>
      </c>
      <c r="D322" s="100">
        <f t="shared" si="44"/>
        <v>119.26359149900578</v>
      </c>
      <c r="E322" s="101">
        <f t="shared" si="37"/>
        <v>0</v>
      </c>
      <c r="F322" s="100">
        <f t="shared" si="38"/>
        <v>0</v>
      </c>
      <c r="G322" s="100">
        <f t="shared" si="41"/>
        <v>0</v>
      </c>
      <c r="H322" s="100">
        <f t="shared" si="42"/>
        <v>0</v>
      </c>
      <c r="I322" s="100">
        <f t="shared" si="39"/>
        <v>0</v>
      </c>
      <c r="J322" s="93"/>
      <c r="K322" s="93"/>
    </row>
    <row r="323" spans="1:11" ht="12.75">
      <c r="A323" s="96">
        <f t="shared" si="40"/>
        <v>306</v>
      </c>
      <c r="B323" s="97">
        <f t="shared" si="36"/>
        <v>49491</v>
      </c>
      <c r="C323" s="100">
        <f t="shared" si="43"/>
        <v>0</v>
      </c>
      <c r="D323" s="100">
        <f t="shared" si="44"/>
        <v>119.26359149900578</v>
      </c>
      <c r="E323" s="101">
        <f t="shared" si="37"/>
        <v>0</v>
      </c>
      <c r="F323" s="100">
        <f t="shared" si="38"/>
        <v>0</v>
      </c>
      <c r="G323" s="100">
        <f t="shared" si="41"/>
        <v>0</v>
      </c>
      <c r="H323" s="100">
        <f t="shared" si="42"/>
        <v>0</v>
      </c>
      <c r="I323" s="100">
        <f t="shared" si="39"/>
        <v>0</v>
      </c>
      <c r="J323" s="93"/>
      <c r="K323" s="93"/>
    </row>
    <row r="324" spans="1:11" ht="12.75">
      <c r="A324" s="96">
        <f t="shared" si="40"/>
        <v>307</v>
      </c>
      <c r="B324" s="97">
        <f t="shared" si="36"/>
        <v>49522</v>
      </c>
      <c r="C324" s="100">
        <f t="shared" si="43"/>
        <v>0</v>
      </c>
      <c r="D324" s="100">
        <f t="shared" si="44"/>
        <v>119.26359149900578</v>
      </c>
      <c r="E324" s="101">
        <f t="shared" si="37"/>
        <v>0</v>
      </c>
      <c r="F324" s="100">
        <f t="shared" si="38"/>
        <v>0</v>
      </c>
      <c r="G324" s="100">
        <f t="shared" si="41"/>
        <v>0</v>
      </c>
      <c r="H324" s="100">
        <f t="shared" si="42"/>
        <v>0</v>
      </c>
      <c r="I324" s="100">
        <f t="shared" si="39"/>
        <v>0</v>
      </c>
      <c r="J324" s="93"/>
      <c r="K324" s="93"/>
    </row>
    <row r="325" spans="1:11" ht="12.75">
      <c r="A325" s="96">
        <f t="shared" si="40"/>
        <v>308</v>
      </c>
      <c r="B325" s="97">
        <f t="shared" si="36"/>
        <v>49553</v>
      </c>
      <c r="C325" s="100">
        <f t="shared" si="43"/>
        <v>0</v>
      </c>
      <c r="D325" s="100">
        <f t="shared" si="44"/>
        <v>119.26359149900578</v>
      </c>
      <c r="E325" s="101">
        <f t="shared" si="37"/>
        <v>0</v>
      </c>
      <c r="F325" s="100">
        <f t="shared" si="38"/>
        <v>0</v>
      </c>
      <c r="G325" s="100">
        <f t="shared" si="41"/>
        <v>0</v>
      </c>
      <c r="H325" s="100">
        <f t="shared" si="42"/>
        <v>0</v>
      </c>
      <c r="I325" s="100">
        <f t="shared" si="39"/>
        <v>0</v>
      </c>
      <c r="J325" s="93"/>
      <c r="K325" s="93"/>
    </row>
    <row r="326" spans="1:11" ht="12.75">
      <c r="A326" s="96">
        <f t="shared" si="40"/>
        <v>309</v>
      </c>
      <c r="B326" s="97">
        <f t="shared" si="36"/>
        <v>49583</v>
      </c>
      <c r="C326" s="100">
        <f t="shared" si="43"/>
        <v>0</v>
      </c>
      <c r="D326" s="100">
        <f t="shared" si="44"/>
        <v>119.26359149900578</v>
      </c>
      <c r="E326" s="101">
        <f t="shared" si="37"/>
        <v>0</v>
      </c>
      <c r="F326" s="100">
        <f t="shared" si="38"/>
        <v>0</v>
      </c>
      <c r="G326" s="100">
        <f t="shared" si="41"/>
        <v>0</v>
      </c>
      <c r="H326" s="100">
        <f t="shared" si="42"/>
        <v>0</v>
      </c>
      <c r="I326" s="100">
        <f t="shared" si="39"/>
        <v>0</v>
      </c>
      <c r="J326" s="93"/>
      <c r="K326" s="93"/>
    </row>
    <row r="327" spans="1:11" ht="12.75">
      <c r="A327" s="96">
        <f t="shared" si="40"/>
        <v>310</v>
      </c>
      <c r="B327" s="97">
        <f t="shared" si="36"/>
        <v>49614</v>
      </c>
      <c r="C327" s="100">
        <f t="shared" si="43"/>
        <v>0</v>
      </c>
      <c r="D327" s="100">
        <f t="shared" si="44"/>
        <v>119.26359149900578</v>
      </c>
      <c r="E327" s="101">
        <f t="shared" si="37"/>
        <v>0</v>
      </c>
      <c r="F327" s="100">
        <f t="shared" si="38"/>
        <v>0</v>
      </c>
      <c r="G327" s="100">
        <f t="shared" si="41"/>
        <v>0</v>
      </c>
      <c r="H327" s="100">
        <f t="shared" si="42"/>
        <v>0</v>
      </c>
      <c r="I327" s="100">
        <f t="shared" si="39"/>
        <v>0</v>
      </c>
      <c r="J327" s="93"/>
      <c r="K327" s="93"/>
    </row>
    <row r="328" spans="1:11" ht="12.75">
      <c r="A328" s="96">
        <f t="shared" si="40"/>
        <v>311</v>
      </c>
      <c r="B328" s="97">
        <f t="shared" si="36"/>
        <v>49644</v>
      </c>
      <c r="C328" s="100">
        <f t="shared" si="43"/>
        <v>0</v>
      </c>
      <c r="D328" s="100">
        <f t="shared" si="44"/>
        <v>119.26359149900578</v>
      </c>
      <c r="E328" s="101">
        <f t="shared" si="37"/>
        <v>0</v>
      </c>
      <c r="F328" s="100">
        <f t="shared" si="38"/>
        <v>0</v>
      </c>
      <c r="G328" s="100">
        <f t="shared" si="41"/>
        <v>0</v>
      </c>
      <c r="H328" s="100">
        <f t="shared" si="42"/>
        <v>0</v>
      </c>
      <c r="I328" s="100">
        <f t="shared" si="39"/>
        <v>0</v>
      </c>
      <c r="J328" s="93"/>
      <c r="K328" s="93"/>
    </row>
    <row r="329" spans="1:11" ht="12.75">
      <c r="A329" s="96">
        <f t="shared" si="40"/>
        <v>312</v>
      </c>
      <c r="B329" s="97">
        <f t="shared" si="36"/>
        <v>49675</v>
      </c>
      <c r="C329" s="100">
        <f t="shared" si="43"/>
        <v>0</v>
      </c>
      <c r="D329" s="100">
        <f t="shared" si="44"/>
        <v>119.26359149900578</v>
      </c>
      <c r="E329" s="101">
        <f t="shared" si="37"/>
        <v>0</v>
      </c>
      <c r="F329" s="100">
        <f t="shared" si="38"/>
        <v>0</v>
      </c>
      <c r="G329" s="100">
        <f t="shared" si="41"/>
        <v>0</v>
      </c>
      <c r="H329" s="100">
        <f t="shared" si="42"/>
        <v>0</v>
      </c>
      <c r="I329" s="100">
        <f t="shared" si="39"/>
        <v>0</v>
      </c>
      <c r="J329" s="93"/>
      <c r="K329" s="93"/>
    </row>
    <row r="330" spans="1:11" ht="12.75">
      <c r="A330" s="96">
        <f t="shared" si="40"/>
        <v>313</v>
      </c>
      <c r="B330" s="97">
        <f t="shared" si="36"/>
        <v>49706</v>
      </c>
      <c r="C330" s="100">
        <f t="shared" si="43"/>
        <v>0</v>
      </c>
      <c r="D330" s="100">
        <f t="shared" si="44"/>
        <v>119.26359149900578</v>
      </c>
      <c r="E330" s="101">
        <f t="shared" si="37"/>
        <v>0</v>
      </c>
      <c r="F330" s="100">
        <f t="shared" si="38"/>
        <v>0</v>
      </c>
      <c r="G330" s="100">
        <f t="shared" si="41"/>
        <v>0</v>
      </c>
      <c r="H330" s="100">
        <f t="shared" si="42"/>
        <v>0</v>
      </c>
      <c r="I330" s="100">
        <f t="shared" si="39"/>
        <v>0</v>
      </c>
      <c r="J330" s="93"/>
      <c r="K330" s="93"/>
    </row>
    <row r="331" spans="1:11" ht="12.75">
      <c r="A331" s="96">
        <f t="shared" si="40"/>
        <v>314</v>
      </c>
      <c r="B331" s="97">
        <f t="shared" si="36"/>
        <v>49735</v>
      </c>
      <c r="C331" s="100">
        <f t="shared" si="43"/>
        <v>0</v>
      </c>
      <c r="D331" s="100">
        <f t="shared" si="44"/>
        <v>119.26359149900578</v>
      </c>
      <c r="E331" s="101">
        <f t="shared" si="37"/>
        <v>0</v>
      </c>
      <c r="F331" s="100">
        <f t="shared" si="38"/>
        <v>0</v>
      </c>
      <c r="G331" s="100">
        <f t="shared" si="41"/>
        <v>0</v>
      </c>
      <c r="H331" s="100">
        <f t="shared" si="42"/>
        <v>0</v>
      </c>
      <c r="I331" s="100">
        <f t="shared" si="39"/>
        <v>0</v>
      </c>
      <c r="J331" s="93"/>
      <c r="K331" s="93"/>
    </row>
    <row r="332" spans="1:11" ht="12.75">
      <c r="A332" s="96">
        <f t="shared" si="40"/>
        <v>315</v>
      </c>
      <c r="B332" s="97">
        <f t="shared" si="36"/>
        <v>49766</v>
      </c>
      <c r="C332" s="100">
        <f t="shared" si="43"/>
        <v>0</v>
      </c>
      <c r="D332" s="100">
        <f t="shared" si="44"/>
        <v>119.26359149900578</v>
      </c>
      <c r="E332" s="101">
        <f t="shared" si="37"/>
        <v>0</v>
      </c>
      <c r="F332" s="100">
        <f t="shared" si="38"/>
        <v>0</v>
      </c>
      <c r="G332" s="100">
        <f t="shared" si="41"/>
        <v>0</v>
      </c>
      <c r="H332" s="100">
        <f t="shared" si="42"/>
        <v>0</v>
      </c>
      <c r="I332" s="100">
        <f t="shared" si="39"/>
        <v>0</v>
      </c>
      <c r="J332" s="93"/>
      <c r="K332" s="93"/>
    </row>
    <row r="333" spans="1:11" ht="12.75">
      <c r="A333" s="96">
        <f t="shared" si="40"/>
        <v>316</v>
      </c>
      <c r="B333" s="97">
        <f t="shared" si="36"/>
        <v>49796</v>
      </c>
      <c r="C333" s="100">
        <f t="shared" si="43"/>
        <v>0</v>
      </c>
      <c r="D333" s="100">
        <f t="shared" si="44"/>
        <v>119.26359149900578</v>
      </c>
      <c r="E333" s="101">
        <f t="shared" si="37"/>
        <v>0</v>
      </c>
      <c r="F333" s="100">
        <f t="shared" si="38"/>
        <v>0</v>
      </c>
      <c r="G333" s="100">
        <f t="shared" si="41"/>
        <v>0</v>
      </c>
      <c r="H333" s="100">
        <f t="shared" si="42"/>
        <v>0</v>
      </c>
      <c r="I333" s="100">
        <f t="shared" si="39"/>
        <v>0</v>
      </c>
      <c r="J333" s="93"/>
      <c r="K333" s="93"/>
    </row>
    <row r="334" spans="1:11" ht="12.75">
      <c r="A334" s="96">
        <f t="shared" si="40"/>
        <v>317</v>
      </c>
      <c r="B334" s="97">
        <f t="shared" si="36"/>
        <v>49827</v>
      </c>
      <c r="C334" s="100">
        <f t="shared" si="43"/>
        <v>0</v>
      </c>
      <c r="D334" s="100">
        <f t="shared" si="44"/>
        <v>119.26359149900578</v>
      </c>
      <c r="E334" s="101">
        <f t="shared" si="37"/>
        <v>0</v>
      </c>
      <c r="F334" s="100">
        <f t="shared" si="38"/>
        <v>0</v>
      </c>
      <c r="G334" s="100">
        <f t="shared" si="41"/>
        <v>0</v>
      </c>
      <c r="H334" s="100">
        <f t="shared" si="42"/>
        <v>0</v>
      </c>
      <c r="I334" s="100">
        <f t="shared" si="39"/>
        <v>0</v>
      </c>
      <c r="J334" s="93"/>
      <c r="K334" s="93"/>
    </row>
    <row r="335" spans="1:11" ht="12.75">
      <c r="A335" s="96">
        <f t="shared" si="40"/>
        <v>318</v>
      </c>
      <c r="B335" s="97">
        <f t="shared" si="36"/>
        <v>49857</v>
      </c>
      <c r="C335" s="100">
        <f t="shared" si="43"/>
        <v>0</v>
      </c>
      <c r="D335" s="100">
        <f t="shared" si="44"/>
        <v>119.26359149900578</v>
      </c>
      <c r="E335" s="101">
        <f t="shared" si="37"/>
        <v>0</v>
      </c>
      <c r="F335" s="100">
        <f t="shared" si="38"/>
        <v>0</v>
      </c>
      <c r="G335" s="100">
        <f t="shared" si="41"/>
        <v>0</v>
      </c>
      <c r="H335" s="100">
        <f t="shared" si="42"/>
        <v>0</v>
      </c>
      <c r="I335" s="100">
        <f t="shared" si="39"/>
        <v>0</v>
      </c>
      <c r="J335" s="93"/>
      <c r="K335" s="93"/>
    </row>
    <row r="336" spans="1:11" ht="12.75">
      <c r="A336" s="96">
        <f t="shared" si="40"/>
        <v>319</v>
      </c>
      <c r="B336" s="97">
        <f t="shared" si="36"/>
        <v>49888</v>
      </c>
      <c r="C336" s="100">
        <f t="shared" si="43"/>
        <v>0</v>
      </c>
      <c r="D336" s="100">
        <f t="shared" si="44"/>
        <v>119.26359149900578</v>
      </c>
      <c r="E336" s="101">
        <f t="shared" si="37"/>
        <v>0</v>
      </c>
      <c r="F336" s="100">
        <f t="shared" si="38"/>
        <v>0</v>
      </c>
      <c r="G336" s="100">
        <f t="shared" si="41"/>
        <v>0</v>
      </c>
      <c r="H336" s="100">
        <f t="shared" si="42"/>
        <v>0</v>
      </c>
      <c r="I336" s="100">
        <f t="shared" si="39"/>
        <v>0</v>
      </c>
      <c r="J336" s="93"/>
      <c r="K336" s="93"/>
    </row>
    <row r="337" spans="1:11" ht="12.75">
      <c r="A337" s="96">
        <f t="shared" si="40"/>
        <v>320</v>
      </c>
      <c r="B337" s="97">
        <f t="shared" si="36"/>
        <v>49919</v>
      </c>
      <c r="C337" s="100">
        <f t="shared" si="43"/>
        <v>0</v>
      </c>
      <c r="D337" s="100">
        <f t="shared" si="44"/>
        <v>119.26359149900578</v>
      </c>
      <c r="E337" s="101">
        <f t="shared" si="37"/>
        <v>0</v>
      </c>
      <c r="F337" s="100">
        <f t="shared" si="38"/>
        <v>0</v>
      </c>
      <c r="G337" s="100">
        <f t="shared" si="41"/>
        <v>0</v>
      </c>
      <c r="H337" s="100">
        <f t="shared" si="42"/>
        <v>0</v>
      </c>
      <c r="I337" s="100">
        <f t="shared" si="39"/>
        <v>0</v>
      </c>
      <c r="J337" s="93"/>
      <c r="K337" s="93"/>
    </row>
    <row r="338" spans="1:11" ht="12.75">
      <c r="A338" s="96">
        <f t="shared" si="40"/>
        <v>321</v>
      </c>
      <c r="B338" s="97">
        <f aca="true" t="shared" si="45" ref="B338:B377">IF(Pay_Num&lt;&gt;"",DATE(YEAR(Loan_Start),MONTH(Loan_Start)+(Pay_Num)*12/Num_Pmt_Per_Year,DAY(Loan_Start)),"")</f>
        <v>49949</v>
      </c>
      <c r="C338" s="100">
        <f t="shared" si="43"/>
        <v>0</v>
      </c>
      <c r="D338" s="100">
        <f t="shared" si="44"/>
        <v>119.26359149900578</v>
      </c>
      <c r="E338" s="101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100">
        <f aca="true" t="shared" si="47" ref="F338:F377">IF(AND(Pay_Num&lt;&gt;"",Sched_Pay+Extra_Pay&lt;Beg_Bal),Sched_Pay+Extra_Pay,IF(Pay_Num&lt;&gt;"",Beg_Bal,""))</f>
        <v>0</v>
      </c>
      <c r="G338" s="100">
        <f t="shared" si="41"/>
        <v>0</v>
      </c>
      <c r="H338" s="100">
        <f t="shared" si="42"/>
        <v>0</v>
      </c>
      <c r="I338" s="100">
        <f aca="true" t="shared" si="48" ref="I338:I377">IF(AND(Pay_Num&lt;&gt;"",Sched_Pay+Extra_Pay&lt;Beg_Bal),Beg_Bal-Princ,IF(Pay_Num&lt;&gt;"",0,""))</f>
        <v>0</v>
      </c>
      <c r="J338" s="93"/>
      <c r="K338" s="93"/>
    </row>
    <row r="339" spans="1:11" ht="12.75">
      <c r="A339" s="96">
        <f aca="true" t="shared" si="49" ref="A339:A377">IF(Values_Entered,A338+1,"")</f>
        <v>322</v>
      </c>
      <c r="B339" s="97">
        <f t="shared" si="45"/>
        <v>49980</v>
      </c>
      <c r="C339" s="100">
        <f t="shared" si="43"/>
        <v>0</v>
      </c>
      <c r="D339" s="100">
        <f t="shared" si="44"/>
        <v>119.26359149900578</v>
      </c>
      <c r="E339" s="101">
        <f t="shared" si="46"/>
        <v>0</v>
      </c>
      <c r="F339" s="100">
        <f t="shared" si="47"/>
        <v>0</v>
      </c>
      <c r="G339" s="100">
        <f aca="true" t="shared" si="50" ref="G339:G377">IF(Pay_Num&lt;&gt;"",Total_Pay-Int,"")</f>
        <v>0</v>
      </c>
      <c r="H339" s="100">
        <f aca="true" t="shared" si="51" ref="H339:H377">IF(Pay_Num&lt;&gt;"",Beg_Bal*Interest_Rate/Num_Pmt_Per_Year,"")</f>
        <v>0</v>
      </c>
      <c r="I339" s="100">
        <f t="shared" si="48"/>
        <v>0</v>
      </c>
      <c r="J339" s="93"/>
      <c r="K339" s="93"/>
    </row>
    <row r="340" spans="1:11" ht="12.75">
      <c r="A340" s="96">
        <f t="shared" si="49"/>
        <v>323</v>
      </c>
      <c r="B340" s="97">
        <f t="shared" si="45"/>
        <v>50010</v>
      </c>
      <c r="C340" s="100">
        <f aca="true" t="shared" si="52" ref="C340:C377">IF(Pay_Num&lt;&gt;"",I339,"")</f>
        <v>0</v>
      </c>
      <c r="D340" s="100">
        <f aca="true" t="shared" si="53" ref="D340:D377">IF(Pay_Num&lt;&gt;"",Scheduled_Monthly_Payment,"")</f>
        <v>119.26359149900578</v>
      </c>
      <c r="E340" s="101">
        <f t="shared" si="46"/>
        <v>0</v>
      </c>
      <c r="F340" s="100">
        <f t="shared" si="47"/>
        <v>0</v>
      </c>
      <c r="G340" s="100">
        <f t="shared" si="50"/>
        <v>0</v>
      </c>
      <c r="H340" s="100">
        <f t="shared" si="51"/>
        <v>0</v>
      </c>
      <c r="I340" s="100">
        <f t="shared" si="48"/>
        <v>0</v>
      </c>
      <c r="J340" s="93"/>
      <c r="K340" s="93"/>
    </row>
    <row r="341" spans="1:11" ht="12.75">
      <c r="A341" s="96">
        <f t="shared" si="49"/>
        <v>324</v>
      </c>
      <c r="B341" s="97">
        <f t="shared" si="45"/>
        <v>50041</v>
      </c>
      <c r="C341" s="100">
        <f t="shared" si="52"/>
        <v>0</v>
      </c>
      <c r="D341" s="100">
        <f t="shared" si="53"/>
        <v>119.26359149900578</v>
      </c>
      <c r="E341" s="101">
        <f t="shared" si="46"/>
        <v>0</v>
      </c>
      <c r="F341" s="100">
        <f t="shared" si="47"/>
        <v>0</v>
      </c>
      <c r="G341" s="100">
        <f t="shared" si="50"/>
        <v>0</v>
      </c>
      <c r="H341" s="100">
        <f t="shared" si="51"/>
        <v>0</v>
      </c>
      <c r="I341" s="100">
        <f t="shared" si="48"/>
        <v>0</v>
      </c>
      <c r="J341" s="93"/>
      <c r="K341" s="93"/>
    </row>
    <row r="342" spans="1:11" ht="12.75">
      <c r="A342" s="96">
        <f t="shared" si="49"/>
        <v>325</v>
      </c>
      <c r="B342" s="97">
        <f t="shared" si="45"/>
        <v>50072</v>
      </c>
      <c r="C342" s="100">
        <f t="shared" si="52"/>
        <v>0</v>
      </c>
      <c r="D342" s="100">
        <f t="shared" si="53"/>
        <v>119.26359149900578</v>
      </c>
      <c r="E342" s="101">
        <f t="shared" si="46"/>
        <v>0</v>
      </c>
      <c r="F342" s="100">
        <f t="shared" si="47"/>
        <v>0</v>
      </c>
      <c r="G342" s="100">
        <f t="shared" si="50"/>
        <v>0</v>
      </c>
      <c r="H342" s="100">
        <f t="shared" si="51"/>
        <v>0</v>
      </c>
      <c r="I342" s="100">
        <f t="shared" si="48"/>
        <v>0</v>
      </c>
      <c r="J342" s="93"/>
      <c r="K342" s="93"/>
    </row>
    <row r="343" spans="1:11" ht="12.75">
      <c r="A343" s="96">
        <f t="shared" si="49"/>
        <v>326</v>
      </c>
      <c r="B343" s="97">
        <f t="shared" si="45"/>
        <v>50100</v>
      </c>
      <c r="C343" s="100">
        <f t="shared" si="52"/>
        <v>0</v>
      </c>
      <c r="D343" s="100">
        <f t="shared" si="53"/>
        <v>119.26359149900578</v>
      </c>
      <c r="E343" s="101">
        <f t="shared" si="46"/>
        <v>0</v>
      </c>
      <c r="F343" s="100">
        <f t="shared" si="47"/>
        <v>0</v>
      </c>
      <c r="G343" s="100">
        <f t="shared" si="50"/>
        <v>0</v>
      </c>
      <c r="H343" s="100">
        <f t="shared" si="51"/>
        <v>0</v>
      </c>
      <c r="I343" s="100">
        <f t="shared" si="48"/>
        <v>0</v>
      </c>
      <c r="J343" s="93"/>
      <c r="K343" s="93"/>
    </row>
    <row r="344" spans="1:11" ht="12.75">
      <c r="A344" s="96">
        <f t="shared" si="49"/>
        <v>327</v>
      </c>
      <c r="B344" s="97">
        <f t="shared" si="45"/>
        <v>50131</v>
      </c>
      <c r="C344" s="100">
        <f t="shared" si="52"/>
        <v>0</v>
      </c>
      <c r="D344" s="100">
        <f t="shared" si="53"/>
        <v>119.26359149900578</v>
      </c>
      <c r="E344" s="101">
        <f t="shared" si="46"/>
        <v>0</v>
      </c>
      <c r="F344" s="100">
        <f t="shared" si="47"/>
        <v>0</v>
      </c>
      <c r="G344" s="100">
        <f t="shared" si="50"/>
        <v>0</v>
      </c>
      <c r="H344" s="100">
        <f t="shared" si="51"/>
        <v>0</v>
      </c>
      <c r="I344" s="100">
        <f t="shared" si="48"/>
        <v>0</v>
      </c>
      <c r="J344" s="93"/>
      <c r="K344" s="93"/>
    </row>
    <row r="345" spans="1:11" ht="12.75">
      <c r="A345" s="96">
        <f t="shared" si="49"/>
        <v>328</v>
      </c>
      <c r="B345" s="97">
        <f t="shared" si="45"/>
        <v>50161</v>
      </c>
      <c r="C345" s="100">
        <f t="shared" si="52"/>
        <v>0</v>
      </c>
      <c r="D345" s="100">
        <f t="shared" si="53"/>
        <v>119.26359149900578</v>
      </c>
      <c r="E345" s="101">
        <f t="shared" si="46"/>
        <v>0</v>
      </c>
      <c r="F345" s="100">
        <f t="shared" si="47"/>
        <v>0</v>
      </c>
      <c r="G345" s="100">
        <f t="shared" si="50"/>
        <v>0</v>
      </c>
      <c r="H345" s="100">
        <f t="shared" si="51"/>
        <v>0</v>
      </c>
      <c r="I345" s="100">
        <f t="shared" si="48"/>
        <v>0</v>
      </c>
      <c r="J345" s="93"/>
      <c r="K345" s="93"/>
    </row>
    <row r="346" spans="1:11" ht="12.75">
      <c r="A346" s="96">
        <f t="shared" si="49"/>
        <v>329</v>
      </c>
      <c r="B346" s="97">
        <f t="shared" si="45"/>
        <v>50192</v>
      </c>
      <c r="C346" s="100">
        <f t="shared" si="52"/>
        <v>0</v>
      </c>
      <c r="D346" s="100">
        <f t="shared" si="53"/>
        <v>119.26359149900578</v>
      </c>
      <c r="E346" s="101">
        <f t="shared" si="46"/>
        <v>0</v>
      </c>
      <c r="F346" s="100">
        <f t="shared" si="47"/>
        <v>0</v>
      </c>
      <c r="G346" s="100">
        <f t="shared" si="50"/>
        <v>0</v>
      </c>
      <c r="H346" s="100">
        <f t="shared" si="51"/>
        <v>0</v>
      </c>
      <c r="I346" s="100">
        <f t="shared" si="48"/>
        <v>0</v>
      </c>
      <c r="J346" s="93"/>
      <c r="K346" s="93"/>
    </row>
    <row r="347" spans="1:11" ht="12.75">
      <c r="A347" s="96">
        <f t="shared" si="49"/>
        <v>330</v>
      </c>
      <c r="B347" s="97">
        <f t="shared" si="45"/>
        <v>50222</v>
      </c>
      <c r="C347" s="100">
        <f t="shared" si="52"/>
        <v>0</v>
      </c>
      <c r="D347" s="100">
        <f t="shared" si="53"/>
        <v>119.26359149900578</v>
      </c>
      <c r="E347" s="101">
        <f t="shared" si="46"/>
        <v>0</v>
      </c>
      <c r="F347" s="100">
        <f t="shared" si="47"/>
        <v>0</v>
      </c>
      <c r="G347" s="100">
        <f t="shared" si="50"/>
        <v>0</v>
      </c>
      <c r="H347" s="100">
        <f t="shared" si="51"/>
        <v>0</v>
      </c>
      <c r="I347" s="100">
        <f t="shared" si="48"/>
        <v>0</v>
      </c>
      <c r="J347" s="93"/>
      <c r="K347" s="93"/>
    </row>
    <row r="348" spans="1:11" ht="12.75">
      <c r="A348" s="96">
        <f t="shared" si="49"/>
        <v>331</v>
      </c>
      <c r="B348" s="97">
        <f t="shared" si="45"/>
        <v>50253</v>
      </c>
      <c r="C348" s="100">
        <f t="shared" si="52"/>
        <v>0</v>
      </c>
      <c r="D348" s="100">
        <f t="shared" si="53"/>
        <v>119.26359149900578</v>
      </c>
      <c r="E348" s="101">
        <f t="shared" si="46"/>
        <v>0</v>
      </c>
      <c r="F348" s="100">
        <f t="shared" si="47"/>
        <v>0</v>
      </c>
      <c r="G348" s="100">
        <f t="shared" si="50"/>
        <v>0</v>
      </c>
      <c r="H348" s="100">
        <f t="shared" si="51"/>
        <v>0</v>
      </c>
      <c r="I348" s="100">
        <f t="shared" si="48"/>
        <v>0</v>
      </c>
      <c r="J348" s="93"/>
      <c r="K348" s="93"/>
    </row>
    <row r="349" spans="1:11" ht="12.75">
      <c r="A349" s="96">
        <f t="shared" si="49"/>
        <v>332</v>
      </c>
      <c r="B349" s="97">
        <f t="shared" si="45"/>
        <v>50284</v>
      </c>
      <c r="C349" s="100">
        <f t="shared" si="52"/>
        <v>0</v>
      </c>
      <c r="D349" s="100">
        <f t="shared" si="53"/>
        <v>119.26359149900578</v>
      </c>
      <c r="E349" s="101">
        <f t="shared" si="46"/>
        <v>0</v>
      </c>
      <c r="F349" s="100">
        <f t="shared" si="47"/>
        <v>0</v>
      </c>
      <c r="G349" s="100">
        <f t="shared" si="50"/>
        <v>0</v>
      </c>
      <c r="H349" s="100">
        <f t="shared" si="51"/>
        <v>0</v>
      </c>
      <c r="I349" s="100">
        <f t="shared" si="48"/>
        <v>0</v>
      </c>
      <c r="J349" s="93"/>
      <c r="K349" s="93"/>
    </row>
    <row r="350" spans="1:11" ht="12.75">
      <c r="A350" s="96">
        <f t="shared" si="49"/>
        <v>333</v>
      </c>
      <c r="B350" s="97">
        <f t="shared" si="45"/>
        <v>50314</v>
      </c>
      <c r="C350" s="100">
        <f t="shared" si="52"/>
        <v>0</v>
      </c>
      <c r="D350" s="100">
        <f t="shared" si="53"/>
        <v>119.26359149900578</v>
      </c>
      <c r="E350" s="101">
        <f t="shared" si="46"/>
        <v>0</v>
      </c>
      <c r="F350" s="100">
        <f t="shared" si="47"/>
        <v>0</v>
      </c>
      <c r="G350" s="100">
        <f t="shared" si="50"/>
        <v>0</v>
      </c>
      <c r="H350" s="100">
        <f t="shared" si="51"/>
        <v>0</v>
      </c>
      <c r="I350" s="100">
        <f t="shared" si="48"/>
        <v>0</v>
      </c>
      <c r="J350" s="93"/>
      <c r="K350" s="93"/>
    </row>
    <row r="351" spans="1:11" ht="12.75">
      <c r="A351" s="96">
        <f t="shared" si="49"/>
        <v>334</v>
      </c>
      <c r="B351" s="97">
        <f t="shared" si="45"/>
        <v>50345</v>
      </c>
      <c r="C351" s="100">
        <f t="shared" si="52"/>
        <v>0</v>
      </c>
      <c r="D351" s="100">
        <f t="shared" si="53"/>
        <v>119.26359149900578</v>
      </c>
      <c r="E351" s="101">
        <f t="shared" si="46"/>
        <v>0</v>
      </c>
      <c r="F351" s="100">
        <f t="shared" si="47"/>
        <v>0</v>
      </c>
      <c r="G351" s="100">
        <f t="shared" si="50"/>
        <v>0</v>
      </c>
      <c r="H351" s="100">
        <f t="shared" si="51"/>
        <v>0</v>
      </c>
      <c r="I351" s="100">
        <f t="shared" si="48"/>
        <v>0</v>
      </c>
      <c r="J351" s="93"/>
      <c r="K351" s="93"/>
    </row>
    <row r="352" spans="1:11" ht="12.75">
      <c r="A352" s="96">
        <f t="shared" si="49"/>
        <v>335</v>
      </c>
      <c r="B352" s="97">
        <f t="shared" si="45"/>
        <v>50375</v>
      </c>
      <c r="C352" s="100">
        <f t="shared" si="52"/>
        <v>0</v>
      </c>
      <c r="D352" s="100">
        <f t="shared" si="53"/>
        <v>119.26359149900578</v>
      </c>
      <c r="E352" s="101">
        <f t="shared" si="46"/>
        <v>0</v>
      </c>
      <c r="F352" s="100">
        <f t="shared" si="47"/>
        <v>0</v>
      </c>
      <c r="G352" s="100">
        <f t="shared" si="50"/>
        <v>0</v>
      </c>
      <c r="H352" s="100">
        <f t="shared" si="51"/>
        <v>0</v>
      </c>
      <c r="I352" s="100">
        <f t="shared" si="48"/>
        <v>0</v>
      </c>
      <c r="J352" s="93"/>
      <c r="K352" s="93"/>
    </row>
    <row r="353" spans="1:11" ht="12.75">
      <c r="A353" s="96">
        <f t="shared" si="49"/>
        <v>336</v>
      </c>
      <c r="B353" s="97">
        <f t="shared" si="45"/>
        <v>50406</v>
      </c>
      <c r="C353" s="100">
        <f t="shared" si="52"/>
        <v>0</v>
      </c>
      <c r="D353" s="100">
        <f t="shared" si="53"/>
        <v>119.26359149900578</v>
      </c>
      <c r="E353" s="101">
        <f t="shared" si="46"/>
        <v>0</v>
      </c>
      <c r="F353" s="100">
        <f t="shared" si="47"/>
        <v>0</v>
      </c>
      <c r="G353" s="100">
        <f t="shared" si="50"/>
        <v>0</v>
      </c>
      <c r="H353" s="100">
        <f t="shared" si="51"/>
        <v>0</v>
      </c>
      <c r="I353" s="100">
        <f t="shared" si="48"/>
        <v>0</v>
      </c>
      <c r="J353" s="93"/>
      <c r="K353" s="93"/>
    </row>
    <row r="354" spans="1:11" ht="12.75">
      <c r="A354" s="96">
        <f t="shared" si="49"/>
        <v>337</v>
      </c>
      <c r="B354" s="97">
        <f t="shared" si="45"/>
        <v>50437</v>
      </c>
      <c r="C354" s="100">
        <f t="shared" si="52"/>
        <v>0</v>
      </c>
      <c r="D354" s="100">
        <f t="shared" si="53"/>
        <v>119.26359149900578</v>
      </c>
      <c r="E354" s="101">
        <f t="shared" si="46"/>
        <v>0</v>
      </c>
      <c r="F354" s="100">
        <f t="shared" si="47"/>
        <v>0</v>
      </c>
      <c r="G354" s="100">
        <f t="shared" si="50"/>
        <v>0</v>
      </c>
      <c r="H354" s="100">
        <f t="shared" si="51"/>
        <v>0</v>
      </c>
      <c r="I354" s="100">
        <f t="shared" si="48"/>
        <v>0</v>
      </c>
      <c r="J354" s="93"/>
      <c r="K354" s="93"/>
    </row>
    <row r="355" spans="1:11" ht="12.75">
      <c r="A355" s="96">
        <f t="shared" si="49"/>
        <v>338</v>
      </c>
      <c r="B355" s="97">
        <f t="shared" si="45"/>
        <v>50465</v>
      </c>
      <c r="C355" s="100">
        <f t="shared" si="52"/>
        <v>0</v>
      </c>
      <c r="D355" s="100">
        <f t="shared" si="53"/>
        <v>119.26359149900578</v>
      </c>
      <c r="E355" s="101">
        <f t="shared" si="46"/>
        <v>0</v>
      </c>
      <c r="F355" s="100">
        <f t="shared" si="47"/>
        <v>0</v>
      </c>
      <c r="G355" s="100">
        <f t="shared" si="50"/>
        <v>0</v>
      </c>
      <c r="H355" s="100">
        <f t="shared" si="51"/>
        <v>0</v>
      </c>
      <c r="I355" s="100">
        <f t="shared" si="48"/>
        <v>0</v>
      </c>
      <c r="J355" s="93"/>
      <c r="K355" s="93"/>
    </row>
    <row r="356" spans="1:11" ht="12.75">
      <c r="A356" s="96">
        <f t="shared" si="49"/>
        <v>339</v>
      </c>
      <c r="B356" s="97">
        <f t="shared" si="45"/>
        <v>50496</v>
      </c>
      <c r="C356" s="100">
        <f t="shared" si="52"/>
        <v>0</v>
      </c>
      <c r="D356" s="100">
        <f t="shared" si="53"/>
        <v>119.26359149900578</v>
      </c>
      <c r="E356" s="101">
        <f t="shared" si="46"/>
        <v>0</v>
      </c>
      <c r="F356" s="100">
        <f t="shared" si="47"/>
        <v>0</v>
      </c>
      <c r="G356" s="100">
        <f t="shared" si="50"/>
        <v>0</v>
      </c>
      <c r="H356" s="100">
        <f t="shared" si="51"/>
        <v>0</v>
      </c>
      <c r="I356" s="100">
        <f t="shared" si="48"/>
        <v>0</v>
      </c>
      <c r="J356" s="93"/>
      <c r="K356" s="93"/>
    </row>
    <row r="357" spans="1:11" ht="12.75">
      <c r="A357" s="96">
        <f t="shared" si="49"/>
        <v>340</v>
      </c>
      <c r="B357" s="97">
        <f t="shared" si="45"/>
        <v>50526</v>
      </c>
      <c r="C357" s="100">
        <f t="shared" si="52"/>
        <v>0</v>
      </c>
      <c r="D357" s="100">
        <f t="shared" si="53"/>
        <v>119.26359149900578</v>
      </c>
      <c r="E357" s="101">
        <f t="shared" si="46"/>
        <v>0</v>
      </c>
      <c r="F357" s="100">
        <f t="shared" si="47"/>
        <v>0</v>
      </c>
      <c r="G357" s="100">
        <f t="shared" si="50"/>
        <v>0</v>
      </c>
      <c r="H357" s="100">
        <f t="shared" si="51"/>
        <v>0</v>
      </c>
      <c r="I357" s="100">
        <f t="shared" si="48"/>
        <v>0</v>
      </c>
      <c r="J357" s="93"/>
      <c r="K357" s="93"/>
    </row>
    <row r="358" spans="1:11" ht="12.75">
      <c r="A358" s="96">
        <f t="shared" si="49"/>
        <v>341</v>
      </c>
      <c r="B358" s="97">
        <f t="shared" si="45"/>
        <v>50557</v>
      </c>
      <c r="C358" s="100">
        <f t="shared" si="52"/>
        <v>0</v>
      </c>
      <c r="D358" s="100">
        <f t="shared" si="53"/>
        <v>119.26359149900578</v>
      </c>
      <c r="E358" s="101">
        <f t="shared" si="46"/>
        <v>0</v>
      </c>
      <c r="F358" s="100">
        <f t="shared" si="47"/>
        <v>0</v>
      </c>
      <c r="G358" s="100">
        <f t="shared" si="50"/>
        <v>0</v>
      </c>
      <c r="H358" s="100">
        <f t="shared" si="51"/>
        <v>0</v>
      </c>
      <c r="I358" s="100">
        <f t="shared" si="48"/>
        <v>0</v>
      </c>
      <c r="J358" s="93"/>
      <c r="K358" s="93"/>
    </row>
    <row r="359" spans="1:11" ht="12.75">
      <c r="A359" s="96">
        <f t="shared" si="49"/>
        <v>342</v>
      </c>
      <c r="B359" s="97">
        <f t="shared" si="45"/>
        <v>50587</v>
      </c>
      <c r="C359" s="100">
        <f t="shared" si="52"/>
        <v>0</v>
      </c>
      <c r="D359" s="100">
        <f t="shared" si="53"/>
        <v>119.26359149900578</v>
      </c>
      <c r="E359" s="101">
        <f t="shared" si="46"/>
        <v>0</v>
      </c>
      <c r="F359" s="100">
        <f t="shared" si="47"/>
        <v>0</v>
      </c>
      <c r="G359" s="100">
        <f t="shared" si="50"/>
        <v>0</v>
      </c>
      <c r="H359" s="100">
        <f t="shared" si="51"/>
        <v>0</v>
      </c>
      <c r="I359" s="100">
        <f t="shared" si="48"/>
        <v>0</v>
      </c>
      <c r="J359" s="93"/>
      <c r="K359" s="93"/>
    </row>
    <row r="360" spans="1:11" ht="12.75">
      <c r="A360" s="96">
        <f t="shared" si="49"/>
        <v>343</v>
      </c>
      <c r="B360" s="97">
        <f t="shared" si="45"/>
        <v>50618</v>
      </c>
      <c r="C360" s="100">
        <f t="shared" si="52"/>
        <v>0</v>
      </c>
      <c r="D360" s="100">
        <f t="shared" si="53"/>
        <v>119.26359149900578</v>
      </c>
      <c r="E360" s="101">
        <f t="shared" si="46"/>
        <v>0</v>
      </c>
      <c r="F360" s="100">
        <f t="shared" si="47"/>
        <v>0</v>
      </c>
      <c r="G360" s="100">
        <f t="shared" si="50"/>
        <v>0</v>
      </c>
      <c r="H360" s="100">
        <f t="shared" si="51"/>
        <v>0</v>
      </c>
      <c r="I360" s="100">
        <f t="shared" si="48"/>
        <v>0</v>
      </c>
      <c r="J360" s="93"/>
      <c r="K360" s="93"/>
    </row>
    <row r="361" spans="1:11" ht="12.75">
      <c r="A361" s="96">
        <f t="shared" si="49"/>
        <v>344</v>
      </c>
      <c r="B361" s="97">
        <f t="shared" si="45"/>
        <v>50649</v>
      </c>
      <c r="C361" s="100">
        <f t="shared" si="52"/>
        <v>0</v>
      </c>
      <c r="D361" s="100">
        <f t="shared" si="53"/>
        <v>119.26359149900578</v>
      </c>
      <c r="E361" s="101">
        <f t="shared" si="46"/>
        <v>0</v>
      </c>
      <c r="F361" s="100">
        <f t="shared" si="47"/>
        <v>0</v>
      </c>
      <c r="G361" s="100">
        <f t="shared" si="50"/>
        <v>0</v>
      </c>
      <c r="H361" s="100">
        <f t="shared" si="51"/>
        <v>0</v>
      </c>
      <c r="I361" s="100">
        <f t="shared" si="48"/>
        <v>0</v>
      </c>
      <c r="J361" s="93"/>
      <c r="K361" s="93"/>
    </row>
    <row r="362" spans="1:11" ht="12.75">
      <c r="A362" s="96">
        <f t="shared" si="49"/>
        <v>345</v>
      </c>
      <c r="B362" s="97">
        <f t="shared" si="45"/>
        <v>50679</v>
      </c>
      <c r="C362" s="100">
        <f t="shared" si="52"/>
        <v>0</v>
      </c>
      <c r="D362" s="100">
        <f t="shared" si="53"/>
        <v>119.26359149900578</v>
      </c>
      <c r="E362" s="101">
        <f t="shared" si="46"/>
        <v>0</v>
      </c>
      <c r="F362" s="100">
        <f t="shared" si="47"/>
        <v>0</v>
      </c>
      <c r="G362" s="100">
        <f t="shared" si="50"/>
        <v>0</v>
      </c>
      <c r="H362" s="100">
        <f t="shared" si="51"/>
        <v>0</v>
      </c>
      <c r="I362" s="100">
        <f t="shared" si="48"/>
        <v>0</v>
      </c>
      <c r="J362" s="93"/>
      <c r="K362" s="93"/>
    </row>
    <row r="363" spans="1:11" ht="12.75">
      <c r="A363" s="96">
        <f t="shared" si="49"/>
        <v>346</v>
      </c>
      <c r="B363" s="97">
        <f t="shared" si="45"/>
        <v>50710</v>
      </c>
      <c r="C363" s="100">
        <f t="shared" si="52"/>
        <v>0</v>
      </c>
      <c r="D363" s="100">
        <f t="shared" si="53"/>
        <v>119.26359149900578</v>
      </c>
      <c r="E363" s="101">
        <f t="shared" si="46"/>
        <v>0</v>
      </c>
      <c r="F363" s="100">
        <f t="shared" si="47"/>
        <v>0</v>
      </c>
      <c r="G363" s="100">
        <f t="shared" si="50"/>
        <v>0</v>
      </c>
      <c r="H363" s="100">
        <f t="shared" si="51"/>
        <v>0</v>
      </c>
      <c r="I363" s="100">
        <f t="shared" si="48"/>
        <v>0</v>
      </c>
      <c r="J363" s="93"/>
      <c r="K363" s="93"/>
    </row>
    <row r="364" spans="1:11" ht="12.75">
      <c r="A364" s="96">
        <f t="shared" si="49"/>
        <v>347</v>
      </c>
      <c r="B364" s="97">
        <f t="shared" si="45"/>
        <v>50740</v>
      </c>
      <c r="C364" s="100">
        <f t="shared" si="52"/>
        <v>0</v>
      </c>
      <c r="D364" s="100">
        <f t="shared" si="53"/>
        <v>119.26359149900578</v>
      </c>
      <c r="E364" s="101">
        <f t="shared" si="46"/>
        <v>0</v>
      </c>
      <c r="F364" s="100">
        <f t="shared" si="47"/>
        <v>0</v>
      </c>
      <c r="G364" s="100">
        <f t="shared" si="50"/>
        <v>0</v>
      </c>
      <c r="H364" s="100">
        <f t="shared" si="51"/>
        <v>0</v>
      </c>
      <c r="I364" s="100">
        <f t="shared" si="48"/>
        <v>0</v>
      </c>
      <c r="J364" s="93"/>
      <c r="K364" s="93"/>
    </row>
    <row r="365" spans="1:11" ht="12.75">
      <c r="A365" s="96">
        <f t="shared" si="49"/>
        <v>348</v>
      </c>
      <c r="B365" s="97">
        <f t="shared" si="45"/>
        <v>50771</v>
      </c>
      <c r="C365" s="100">
        <f t="shared" si="52"/>
        <v>0</v>
      </c>
      <c r="D365" s="100">
        <f t="shared" si="53"/>
        <v>119.26359149900578</v>
      </c>
      <c r="E365" s="101">
        <f t="shared" si="46"/>
        <v>0</v>
      </c>
      <c r="F365" s="100">
        <f t="shared" si="47"/>
        <v>0</v>
      </c>
      <c r="G365" s="100">
        <f t="shared" si="50"/>
        <v>0</v>
      </c>
      <c r="H365" s="100">
        <f t="shared" si="51"/>
        <v>0</v>
      </c>
      <c r="I365" s="100">
        <f t="shared" si="48"/>
        <v>0</v>
      </c>
      <c r="J365" s="93"/>
      <c r="K365" s="93"/>
    </row>
    <row r="366" spans="1:11" ht="12.75">
      <c r="A366" s="96">
        <f t="shared" si="49"/>
        <v>349</v>
      </c>
      <c r="B366" s="97">
        <f t="shared" si="45"/>
        <v>50802</v>
      </c>
      <c r="C366" s="100">
        <f t="shared" si="52"/>
        <v>0</v>
      </c>
      <c r="D366" s="100">
        <f t="shared" si="53"/>
        <v>119.26359149900578</v>
      </c>
      <c r="E366" s="101">
        <f t="shared" si="46"/>
        <v>0</v>
      </c>
      <c r="F366" s="100">
        <f t="shared" si="47"/>
        <v>0</v>
      </c>
      <c r="G366" s="100">
        <f t="shared" si="50"/>
        <v>0</v>
      </c>
      <c r="H366" s="100">
        <f t="shared" si="51"/>
        <v>0</v>
      </c>
      <c r="I366" s="100">
        <f t="shared" si="48"/>
        <v>0</v>
      </c>
      <c r="J366" s="93"/>
      <c r="K366" s="93"/>
    </row>
    <row r="367" spans="1:11" ht="12.75">
      <c r="A367" s="96">
        <f t="shared" si="49"/>
        <v>350</v>
      </c>
      <c r="B367" s="97">
        <f t="shared" si="45"/>
        <v>50830</v>
      </c>
      <c r="C367" s="100">
        <f t="shared" si="52"/>
        <v>0</v>
      </c>
      <c r="D367" s="100">
        <f t="shared" si="53"/>
        <v>119.26359149900578</v>
      </c>
      <c r="E367" s="101">
        <f t="shared" si="46"/>
        <v>0</v>
      </c>
      <c r="F367" s="100">
        <f t="shared" si="47"/>
        <v>0</v>
      </c>
      <c r="G367" s="100">
        <f t="shared" si="50"/>
        <v>0</v>
      </c>
      <c r="H367" s="100">
        <f t="shared" si="51"/>
        <v>0</v>
      </c>
      <c r="I367" s="100">
        <f t="shared" si="48"/>
        <v>0</v>
      </c>
      <c r="J367" s="93"/>
      <c r="K367" s="93"/>
    </row>
    <row r="368" spans="1:11" ht="12.75">
      <c r="A368" s="96">
        <f t="shared" si="49"/>
        <v>351</v>
      </c>
      <c r="B368" s="97">
        <f t="shared" si="45"/>
        <v>50861</v>
      </c>
      <c r="C368" s="100">
        <f t="shared" si="52"/>
        <v>0</v>
      </c>
      <c r="D368" s="100">
        <f t="shared" si="53"/>
        <v>119.26359149900578</v>
      </c>
      <c r="E368" s="101">
        <f t="shared" si="46"/>
        <v>0</v>
      </c>
      <c r="F368" s="100">
        <f t="shared" si="47"/>
        <v>0</v>
      </c>
      <c r="G368" s="100">
        <f t="shared" si="50"/>
        <v>0</v>
      </c>
      <c r="H368" s="100">
        <f t="shared" si="51"/>
        <v>0</v>
      </c>
      <c r="I368" s="100">
        <f t="shared" si="48"/>
        <v>0</v>
      </c>
      <c r="J368" s="93"/>
      <c r="K368" s="93"/>
    </row>
    <row r="369" spans="1:11" ht="12.75">
      <c r="A369" s="96">
        <f t="shared" si="49"/>
        <v>352</v>
      </c>
      <c r="B369" s="97">
        <f t="shared" si="45"/>
        <v>50891</v>
      </c>
      <c r="C369" s="100">
        <f t="shared" si="52"/>
        <v>0</v>
      </c>
      <c r="D369" s="100">
        <f t="shared" si="53"/>
        <v>119.26359149900578</v>
      </c>
      <c r="E369" s="101">
        <f t="shared" si="46"/>
        <v>0</v>
      </c>
      <c r="F369" s="100">
        <f t="shared" si="47"/>
        <v>0</v>
      </c>
      <c r="G369" s="100">
        <f t="shared" si="50"/>
        <v>0</v>
      </c>
      <c r="H369" s="100">
        <f t="shared" si="51"/>
        <v>0</v>
      </c>
      <c r="I369" s="100">
        <f t="shared" si="48"/>
        <v>0</v>
      </c>
      <c r="J369" s="93"/>
      <c r="K369" s="93"/>
    </row>
    <row r="370" spans="1:11" ht="12.75">
      <c r="A370" s="96">
        <f t="shared" si="49"/>
        <v>353</v>
      </c>
      <c r="B370" s="97">
        <f t="shared" si="45"/>
        <v>50922</v>
      </c>
      <c r="C370" s="100">
        <f t="shared" si="52"/>
        <v>0</v>
      </c>
      <c r="D370" s="100">
        <f t="shared" si="53"/>
        <v>119.26359149900578</v>
      </c>
      <c r="E370" s="101">
        <f t="shared" si="46"/>
        <v>0</v>
      </c>
      <c r="F370" s="100">
        <f t="shared" si="47"/>
        <v>0</v>
      </c>
      <c r="G370" s="100">
        <f t="shared" si="50"/>
        <v>0</v>
      </c>
      <c r="H370" s="100">
        <f t="shared" si="51"/>
        <v>0</v>
      </c>
      <c r="I370" s="100">
        <f t="shared" si="48"/>
        <v>0</v>
      </c>
      <c r="J370" s="93"/>
      <c r="K370" s="93"/>
    </row>
    <row r="371" spans="1:11" ht="12.75">
      <c r="A371" s="96">
        <f t="shared" si="49"/>
        <v>354</v>
      </c>
      <c r="B371" s="97">
        <f t="shared" si="45"/>
        <v>50952</v>
      </c>
      <c r="C371" s="100">
        <f t="shared" si="52"/>
        <v>0</v>
      </c>
      <c r="D371" s="100">
        <f t="shared" si="53"/>
        <v>119.26359149900578</v>
      </c>
      <c r="E371" s="101">
        <f t="shared" si="46"/>
        <v>0</v>
      </c>
      <c r="F371" s="100">
        <f t="shared" si="47"/>
        <v>0</v>
      </c>
      <c r="G371" s="100">
        <f t="shared" si="50"/>
        <v>0</v>
      </c>
      <c r="H371" s="100">
        <f t="shared" si="51"/>
        <v>0</v>
      </c>
      <c r="I371" s="100">
        <f t="shared" si="48"/>
        <v>0</v>
      </c>
      <c r="J371" s="93"/>
      <c r="K371" s="93"/>
    </row>
    <row r="372" spans="1:11" ht="12.75">
      <c r="A372" s="96">
        <f t="shared" si="49"/>
        <v>355</v>
      </c>
      <c r="B372" s="97">
        <f t="shared" si="45"/>
        <v>50983</v>
      </c>
      <c r="C372" s="100">
        <f t="shared" si="52"/>
        <v>0</v>
      </c>
      <c r="D372" s="100">
        <f t="shared" si="53"/>
        <v>119.26359149900578</v>
      </c>
      <c r="E372" s="101">
        <f t="shared" si="46"/>
        <v>0</v>
      </c>
      <c r="F372" s="100">
        <f t="shared" si="47"/>
        <v>0</v>
      </c>
      <c r="G372" s="100">
        <f t="shared" si="50"/>
        <v>0</v>
      </c>
      <c r="H372" s="100">
        <f t="shared" si="51"/>
        <v>0</v>
      </c>
      <c r="I372" s="100">
        <f t="shared" si="48"/>
        <v>0</v>
      </c>
      <c r="J372" s="93"/>
      <c r="K372" s="93"/>
    </row>
    <row r="373" spans="1:11" ht="12.75">
      <c r="A373" s="96">
        <f t="shared" si="49"/>
        <v>356</v>
      </c>
      <c r="B373" s="97">
        <f t="shared" si="45"/>
        <v>51014</v>
      </c>
      <c r="C373" s="100">
        <f t="shared" si="52"/>
        <v>0</v>
      </c>
      <c r="D373" s="100">
        <f t="shared" si="53"/>
        <v>119.26359149900578</v>
      </c>
      <c r="E373" s="101">
        <f t="shared" si="46"/>
        <v>0</v>
      </c>
      <c r="F373" s="100">
        <f t="shared" si="47"/>
        <v>0</v>
      </c>
      <c r="G373" s="100">
        <f t="shared" si="50"/>
        <v>0</v>
      </c>
      <c r="H373" s="100">
        <f t="shared" si="51"/>
        <v>0</v>
      </c>
      <c r="I373" s="100">
        <f t="shared" si="48"/>
        <v>0</v>
      </c>
      <c r="J373" s="93"/>
      <c r="K373" s="93"/>
    </row>
    <row r="374" spans="1:11" ht="12.75">
      <c r="A374" s="96">
        <f t="shared" si="49"/>
        <v>357</v>
      </c>
      <c r="B374" s="97">
        <f t="shared" si="45"/>
        <v>51044</v>
      </c>
      <c r="C374" s="100">
        <f t="shared" si="52"/>
        <v>0</v>
      </c>
      <c r="D374" s="100">
        <f t="shared" si="53"/>
        <v>119.26359149900578</v>
      </c>
      <c r="E374" s="101">
        <f t="shared" si="46"/>
        <v>0</v>
      </c>
      <c r="F374" s="100">
        <f t="shared" si="47"/>
        <v>0</v>
      </c>
      <c r="G374" s="100">
        <f t="shared" si="50"/>
        <v>0</v>
      </c>
      <c r="H374" s="100">
        <f t="shared" si="51"/>
        <v>0</v>
      </c>
      <c r="I374" s="100">
        <f t="shared" si="48"/>
        <v>0</v>
      </c>
      <c r="J374" s="93"/>
      <c r="K374" s="93"/>
    </row>
    <row r="375" spans="1:11" ht="12.75">
      <c r="A375" s="96">
        <f t="shared" si="49"/>
        <v>358</v>
      </c>
      <c r="B375" s="97">
        <f t="shared" si="45"/>
        <v>51075</v>
      </c>
      <c r="C375" s="100">
        <f t="shared" si="52"/>
        <v>0</v>
      </c>
      <c r="D375" s="100">
        <f t="shared" si="53"/>
        <v>119.26359149900578</v>
      </c>
      <c r="E375" s="101">
        <f t="shared" si="46"/>
        <v>0</v>
      </c>
      <c r="F375" s="100">
        <f t="shared" si="47"/>
        <v>0</v>
      </c>
      <c r="G375" s="100">
        <f t="shared" si="50"/>
        <v>0</v>
      </c>
      <c r="H375" s="100">
        <f t="shared" si="51"/>
        <v>0</v>
      </c>
      <c r="I375" s="100">
        <f t="shared" si="48"/>
        <v>0</v>
      </c>
      <c r="J375" s="93"/>
      <c r="K375" s="93"/>
    </row>
    <row r="376" spans="1:11" ht="12.75">
      <c r="A376" s="96">
        <f t="shared" si="49"/>
        <v>359</v>
      </c>
      <c r="B376" s="97">
        <f t="shared" si="45"/>
        <v>51105</v>
      </c>
      <c r="C376" s="100">
        <f t="shared" si="52"/>
        <v>0</v>
      </c>
      <c r="D376" s="100">
        <f t="shared" si="53"/>
        <v>119.26359149900578</v>
      </c>
      <c r="E376" s="101">
        <f t="shared" si="46"/>
        <v>0</v>
      </c>
      <c r="F376" s="100">
        <f t="shared" si="47"/>
        <v>0</v>
      </c>
      <c r="G376" s="100">
        <f t="shared" si="50"/>
        <v>0</v>
      </c>
      <c r="H376" s="100">
        <f t="shared" si="51"/>
        <v>0</v>
      </c>
      <c r="I376" s="100">
        <f t="shared" si="48"/>
        <v>0</v>
      </c>
      <c r="J376" s="93"/>
      <c r="K376" s="93"/>
    </row>
    <row r="377" spans="1:11" ht="12.75">
      <c r="A377" s="96">
        <f t="shared" si="49"/>
        <v>360</v>
      </c>
      <c r="B377" s="97">
        <f t="shared" si="45"/>
        <v>51136</v>
      </c>
      <c r="C377" s="100">
        <f t="shared" si="52"/>
        <v>0</v>
      </c>
      <c r="D377" s="100">
        <f t="shared" si="53"/>
        <v>119.26359149900578</v>
      </c>
      <c r="E377" s="101">
        <f t="shared" si="46"/>
        <v>0</v>
      </c>
      <c r="F377" s="100">
        <f t="shared" si="47"/>
        <v>0</v>
      </c>
      <c r="G377" s="100">
        <f t="shared" si="50"/>
        <v>0</v>
      </c>
      <c r="H377" s="100">
        <f t="shared" si="51"/>
        <v>0</v>
      </c>
      <c r="I377" s="100">
        <f t="shared" si="48"/>
        <v>0</v>
      </c>
      <c r="J377" s="93"/>
      <c r="K377" s="93"/>
    </row>
    <row r="378" spans="1:10" ht="12.75">
      <c r="A378" s="102"/>
      <c r="B378" s="102"/>
      <c r="C378" s="102"/>
      <c r="D378" s="102"/>
      <c r="E378" s="102"/>
      <c r="F378" s="102"/>
      <c r="G378" s="102"/>
      <c r="H378" s="102"/>
      <c r="I378" s="102"/>
      <c r="J378" s="103"/>
    </row>
    <row r="379" ht="12.75">
      <c r="J379" s="103"/>
    </row>
    <row r="380" ht="12.75">
      <c r="J380" s="103"/>
    </row>
    <row r="381" ht="12.75">
      <c r="J381" s="103"/>
    </row>
    <row r="382" ht="12.75">
      <c r="J382" s="103"/>
    </row>
    <row r="383" ht="12.75">
      <c r="J383" s="103"/>
    </row>
    <row r="384" ht="12.75">
      <c r="J384" s="103"/>
    </row>
    <row r="385" ht="12.75">
      <c r="J385" s="103"/>
    </row>
    <row r="386" ht="12.75">
      <c r="J386" s="103"/>
    </row>
    <row r="387" ht="12.75">
      <c r="J387" s="103"/>
    </row>
    <row r="388" ht="12.75">
      <c r="J388" s="103"/>
    </row>
    <row r="389" ht="12.75">
      <c r="J389" s="103"/>
    </row>
    <row r="390" ht="12.75">
      <c r="J390" s="103"/>
    </row>
    <row r="391" ht="12.75">
      <c r="J391" s="103"/>
    </row>
    <row r="392" ht="12.75">
      <c r="J392" s="103"/>
    </row>
    <row r="393" ht="12.75">
      <c r="J393" s="103"/>
    </row>
    <row r="394" ht="12.75">
      <c r="J394" s="103"/>
    </row>
    <row r="395" ht="12.75">
      <c r="J395" s="103"/>
    </row>
    <row r="396" ht="12.75">
      <c r="J396" s="103"/>
    </row>
    <row r="397" ht="12.75">
      <c r="J397" s="103"/>
    </row>
    <row r="398" ht="12.75">
      <c r="J398" s="103"/>
    </row>
    <row r="399" ht="12.75">
      <c r="J399" s="103"/>
    </row>
    <row r="400" ht="12.75">
      <c r="J400" s="103"/>
    </row>
    <row r="401" ht="12.75">
      <c r="J401" s="103"/>
    </row>
    <row r="402" ht="12.75">
      <c r="J402" s="103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8" stopIfTrue="1">
      <formula>IF(ROW(A18)&gt;Last_Row,TRUE,FALSE)</formula>
    </cfRule>
    <cfRule type="expression" priority="2" dxfId="9" stopIfTrue="1">
      <formula>IF(ROW(A18)=Last_Row,TRUE,FALSE)</formula>
    </cfRule>
    <cfRule type="expression" priority="3" dxfId="10" stopIfTrue="1">
      <formula>IF(ROW(A18)&lt;Last_Row,TRUE,FALSE)</formula>
    </cfRule>
  </conditionalFormatting>
  <conditionalFormatting sqref="F18:I377">
    <cfRule type="expression" priority="4" dxfId="8" stopIfTrue="1">
      <formula>IF(ROW(F18)&gt;Last_Row,TRUE,FALSE)</formula>
    </cfRule>
    <cfRule type="expression" priority="5" dxfId="9" stopIfTrue="1">
      <formula>IF(ROW(F18)=Last_Row,TRUE,FALSE)</formula>
    </cfRule>
    <cfRule type="expression" priority="6" dxfId="10" stopIfTrue="1">
      <formula>IF(ROW(F18)&lt;=Last_Row,TRUE,FALSE)</formula>
    </cfRule>
  </conditionalFormatting>
  <conditionalFormatting sqref="E18:E377">
    <cfRule type="expression" priority="7" dxfId="8" stopIfTrue="1">
      <formula>IF(ROW(E18)&gt;Last_Row,TRUE,FALSE)</formula>
    </cfRule>
    <cfRule type="expression" priority="8" dxfId="11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11.57421875" style="0" bestFit="1" customWidth="1"/>
  </cols>
  <sheetData>
    <row r="1" ht="15">
      <c r="A1" t="s">
        <v>78</v>
      </c>
    </row>
    <row r="2" spans="1:2" ht="15">
      <c r="A2">
        <v>1</v>
      </c>
      <c r="B2" s="64">
        <f>'Solar Financing Information'!C76</f>
        <v>-7553.667642838018</v>
      </c>
    </row>
    <row r="3" spans="1:2" ht="15">
      <c r="A3">
        <f>+A2+1</f>
        <v>2</v>
      </c>
      <c r="B3" s="64">
        <f>'Solar Financing Information'!D76</f>
        <v>-6004.979968761717</v>
      </c>
    </row>
    <row r="4" spans="1:2" ht="15">
      <c r="A4">
        <f aca="true" t="shared" si="0" ref="A4:A21">+A3+1</f>
        <v>3</v>
      </c>
      <c r="B4" s="64">
        <f>'Solar Financing Information'!E76</f>
        <v>-4428.247350865191</v>
      </c>
    </row>
    <row r="5" spans="1:2" ht="15">
      <c r="A5">
        <f t="shared" si="0"/>
        <v>4</v>
      </c>
      <c r="B5" s="64">
        <f>'Solar Financing Information'!F76</f>
        <v>-2822.3479913956317</v>
      </c>
    </row>
    <row r="6" spans="1:2" ht="15">
      <c r="A6">
        <f t="shared" si="0"/>
        <v>5</v>
      </c>
      <c r="B6" s="64">
        <f>'Solar Financing Information'!G76</f>
        <v>-1186.115220690117</v>
      </c>
    </row>
    <row r="7" spans="1:2" ht="15">
      <c r="A7">
        <f t="shared" si="0"/>
        <v>6</v>
      </c>
      <c r="B7" s="64">
        <f>'Solar Financing Information'!C87</f>
        <v>481.6642977007905</v>
      </c>
    </row>
    <row r="8" spans="1:2" ht="15">
      <c r="A8">
        <f t="shared" si="0"/>
        <v>7</v>
      </c>
      <c r="B8" s="64">
        <f>'Solar Financing Information'!D87</f>
        <v>2182.252433684507</v>
      </c>
    </row>
    <row r="9" spans="1:2" ht="15">
      <c r="A9">
        <f t="shared" si="0"/>
        <v>8</v>
      </c>
      <c r="B9" s="64">
        <f>'Solar Financing Information'!E87</f>
        <v>3916.9615319647455</v>
      </c>
    </row>
    <row r="10" spans="1:2" ht="15">
      <c r="A10">
        <f t="shared" si="0"/>
        <v>9</v>
      </c>
      <c r="B10" s="64">
        <f>'Solar Financing Information'!F87</f>
        <v>5687.156431033367</v>
      </c>
    </row>
    <row r="11" spans="1:2" ht="15">
      <c r="A11">
        <f t="shared" si="0"/>
        <v>10</v>
      </c>
      <c r="B11" s="64">
        <f>'Solar Financing Information'!G87</f>
        <v>7494.256562921906</v>
      </c>
    </row>
    <row r="12" spans="1:2" ht="15">
      <c r="A12">
        <f t="shared" si="0"/>
        <v>11</v>
      </c>
      <c r="B12">
        <f>'Solar Financing Information'!C98</f>
        <v>9339.738136943157</v>
      </c>
    </row>
    <row r="13" spans="1:2" ht="15">
      <c r="A13">
        <f t="shared" si="0"/>
        <v>12</v>
      </c>
      <c r="B13">
        <f>'Solar Financing Information'!D98</f>
        <v>11225.13641078243</v>
      </c>
    </row>
    <row r="14" spans="1:2" ht="15">
      <c r="A14">
        <f t="shared" si="0"/>
        <v>13</v>
      </c>
      <c r="B14">
        <f>'Solar Financing Information'!E98</f>
        <v>13152.048052432448</v>
      </c>
    </row>
    <row r="15" spans="1:2" ht="15">
      <c r="A15">
        <f t="shared" si="0"/>
        <v>14</v>
      </c>
      <c r="B15">
        <f>'Solar Financing Information'!F98</f>
        <v>15122.13359660564</v>
      </c>
    </row>
    <row r="16" spans="1:2" ht="15">
      <c r="A16">
        <f t="shared" si="0"/>
        <v>15</v>
      </c>
      <c r="B16">
        <f>'Solar Financing Information'!G98</f>
        <v>17137.11999940293</v>
      </c>
    </row>
    <row r="17" spans="1:2" ht="15">
      <c r="A17">
        <f t="shared" si="0"/>
        <v>16</v>
      </c>
      <c r="B17">
        <f>'Solar Financing Information'!C110</f>
        <v>19198.803295169288</v>
      </c>
    </row>
    <row r="18" spans="1:2" ht="15">
      <c r="A18">
        <f t="shared" si="0"/>
        <v>17</v>
      </c>
      <c r="B18">
        <f>'Solar Financing Information'!D110</f>
        <v>21309.05135962347</v>
      </c>
    </row>
    <row r="19" spans="1:2" ht="15">
      <c r="A19">
        <f t="shared" si="0"/>
        <v>18</v>
      </c>
      <c r="B19">
        <f>'Solar Financing Information'!E110</f>
        <v>23469.806783512995</v>
      </c>
    </row>
    <row r="20" spans="1:2" ht="15">
      <c r="A20">
        <f t="shared" si="0"/>
        <v>19</v>
      </c>
      <c r="B20">
        <f>'Solar Financing Information'!F110</f>
        <v>25683.08986121527</v>
      </c>
    </row>
    <row r="21" spans="1:2" ht="15">
      <c r="A21">
        <f t="shared" si="0"/>
        <v>20</v>
      </c>
      <c r="B21">
        <f>'Solar Financing Information'!G110</f>
        <v>27951.00169888281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 Solar Calculator</dc:title>
  <dc:subject/>
  <dc:creator>Dan Hahn</dc:creator>
  <cp:keywords/>
  <dc:description/>
  <cp:lastModifiedBy>bill</cp:lastModifiedBy>
  <cp:lastPrinted>2010-03-26T12:53:23Z</cp:lastPrinted>
  <dcterms:created xsi:type="dcterms:W3CDTF">2008-08-21T19:33:25Z</dcterms:created>
  <dcterms:modified xsi:type="dcterms:W3CDTF">2010-04-16T17:01:51Z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350332000000004023</vt:lpwstr>
  </property>
  <property fmtid="{D5CDD505-2E9C-101B-9397-08002B2CF9AE}" pid="3" name="ZohoSheetVersion">
    <vt:lpwstr>2.0</vt:lpwstr>
  </property>
  <property fmtid="{D5CDD505-2E9C-101B-9397-08002B2CF9AE}" pid="4" name="DocOwner">
    <vt:lpwstr>danyull99</vt:lpwstr>
  </property>
</Properties>
</file>